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user\Desktop\БЕЛОРЕЧКА (измененная)\в МИНЖП документы (все согласовано)\"/>
    </mc:Choice>
  </mc:AlternateContent>
  <xr:revisionPtr revIDLastSave="0" documentId="13_ncr:1_{390764E5-FDC9-49E0-8B67-5F75EA3125FC}" xr6:coauthVersionLast="47" xr6:coauthVersionMax="47" xr10:uidLastSave="{00000000-0000-0000-0000-000000000000}"/>
  <bookViews>
    <workbookView xWindow="2475" yWindow="1050" windowWidth="24255" windowHeight="12855" firstSheet="1" activeTab="1" xr2:uid="{00000000-000D-0000-FFFF-FFFF00000000}"/>
  </bookViews>
  <sheets>
    <sheet name="ТИТУЛ" sheetId="10" r:id="rId1"/>
    <sheet name="№1-ИП ТС" sheetId="1" r:id="rId2"/>
    <sheet name="№2-ИП ТС" sheetId="9" r:id="rId3"/>
    <sheet name="№3-ИП ТС" sheetId="4" r:id="rId4"/>
    <sheet name="№4-ИП ТС" sheetId="5" r:id="rId5"/>
    <sheet name="№5-ИП ТС" sheetId="6" r:id="rId6"/>
    <sheet name="№6.1-ИП ТС" sheetId="7" r:id="rId7"/>
    <sheet name="№6.2-ИП ТС" sheetId="8" r:id="rId8"/>
  </sheets>
  <definedNames>
    <definedName name="_xlnm.Print_Area" localSheetId="1">'№1-ИП ТС'!$A$1:$DD$31</definedName>
    <definedName name="_xlnm.Print_Area" localSheetId="3">'№3-ИП ТС'!$A$1:$IR$24</definedName>
    <definedName name="_xlnm.Print_Area" localSheetId="4">'№4-ИП ТС'!$A$1:$BE$15</definedName>
    <definedName name="_xlnm.Print_Area" localSheetId="5">'№5-ИП ТС'!$A$1:$P$29</definedName>
    <definedName name="_xlnm.Print_Area" localSheetId="6">'№6.1-ИП ТС'!$A$1:$X$66</definedName>
    <definedName name="_xlnm.Print_Area" localSheetId="7">'№6.2-ИП ТС'!$A$1:$L$17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E18" i="4" l="1"/>
  <c r="HR18" i="4"/>
  <c r="HE18" i="4"/>
  <c r="GR18" i="4"/>
  <c r="GE18" i="4"/>
  <c r="FR18" i="4"/>
  <c r="FE18" i="4"/>
  <c r="ER18" i="4"/>
  <c r="EE18" i="4"/>
  <c r="DR18" i="4"/>
  <c r="DD18" i="4"/>
  <c r="CP18" i="4"/>
  <c r="IE17" i="4"/>
  <c r="HR17" i="4"/>
  <c r="HE17" i="4"/>
  <c r="GR17" i="4"/>
  <c r="GE17" i="4"/>
  <c r="FR17" i="4"/>
  <c r="FE17" i="4"/>
  <c r="ER17" i="4"/>
  <c r="EE17" i="4"/>
  <c r="DR17" i="4"/>
  <c r="K60" i="7" l="1"/>
  <c r="K57" i="7"/>
  <c r="I60" i="7"/>
  <c r="I59" i="7"/>
  <c r="I58" i="7"/>
  <c r="I57" i="7"/>
  <c r="I55" i="7"/>
  <c r="K53" i="7"/>
  <c r="I54" i="7"/>
  <c r="I53" i="7"/>
  <c r="I51" i="7"/>
  <c r="K48" i="7" l="1"/>
  <c r="K51" i="7" s="1"/>
  <c r="K54" i="7" s="1"/>
  <c r="K55" i="7" s="1"/>
  <c r="K58" i="7" s="1"/>
  <c r="I50" i="7"/>
  <c r="I48" i="7"/>
  <c r="K39" i="7"/>
  <c r="K13" i="7"/>
  <c r="K23" i="7" s="1"/>
  <c r="K26" i="7" s="1"/>
  <c r="K28" i="7" s="1"/>
  <c r="K33" i="7" s="1"/>
  <c r="K36" i="7" s="1"/>
  <c r="K17" i="7" l="1"/>
  <c r="I38" i="7"/>
  <c r="M41" i="9"/>
  <c r="I47" i="7"/>
  <c r="I46" i="7"/>
  <c r="I45" i="7"/>
  <c r="I44" i="7"/>
  <c r="I43" i="7"/>
  <c r="I42" i="7"/>
  <c r="I41" i="7"/>
  <c r="I40" i="7"/>
  <c r="I39" i="7"/>
  <c r="I36" i="7"/>
  <c r="I35" i="7"/>
  <c r="I33" i="7"/>
  <c r="I32" i="7"/>
  <c r="I31" i="7"/>
  <c r="I30" i="7"/>
  <c r="I28" i="7"/>
  <c r="I25" i="7"/>
  <c r="I23" i="7"/>
  <c r="I17" i="7"/>
  <c r="I22" i="7"/>
  <c r="I21" i="7"/>
  <c r="I20" i="7"/>
  <c r="I19" i="7"/>
  <c r="I13" i="7"/>
  <c r="M16" i="9"/>
  <c r="I16" i="7"/>
  <c r="I15" i="7"/>
  <c r="N17" i="7"/>
  <c r="N13" i="7"/>
  <c r="M17" i="7"/>
  <c r="M13" i="7"/>
  <c r="T13" i="7" s="1"/>
  <c r="W12" i="7"/>
  <c r="T17" i="7" l="1"/>
  <c r="M62" i="9"/>
  <c r="H62" i="9"/>
  <c r="M61" i="9"/>
  <c r="H61" i="9"/>
  <c r="M57" i="9"/>
  <c r="H57" i="9"/>
  <c r="M56" i="9"/>
  <c r="H56" i="9"/>
  <c r="M50" i="9"/>
  <c r="H50" i="9"/>
  <c r="M49" i="9"/>
  <c r="H49" i="9"/>
  <c r="M48" i="9"/>
  <c r="H48" i="9"/>
  <c r="M47" i="9"/>
  <c r="H47" i="9"/>
  <c r="M46" i="9"/>
  <c r="H46" i="9"/>
  <c r="M45" i="9"/>
  <c r="H45" i="9"/>
  <c r="M43" i="9"/>
  <c r="H43" i="9"/>
  <c r="M42" i="9"/>
  <c r="H42" i="9"/>
  <c r="H39" i="9"/>
  <c r="M38" i="9"/>
  <c r="M36" i="9"/>
  <c r="H38" i="9"/>
  <c r="H36" i="9"/>
  <c r="M35" i="9"/>
  <c r="H35" i="9"/>
  <c r="M34" i="9"/>
  <c r="H34" i="9"/>
  <c r="M31" i="9"/>
  <c r="H31" i="9"/>
  <c r="M28" i="9" l="1"/>
  <c r="H28" i="9"/>
  <c r="M26" i="9"/>
  <c r="H26" i="9"/>
  <c r="M24" i="9"/>
  <c r="H24" i="9"/>
  <c r="M23" i="9"/>
  <c r="H23" i="9"/>
  <c r="M20" i="9"/>
  <c r="H20" i="9" l="1"/>
  <c r="M19" i="9"/>
  <c r="M18" i="9"/>
  <c r="H19" i="9"/>
  <c r="H16" i="9"/>
  <c r="R16" i="9"/>
  <c r="M25" i="9"/>
  <c r="H25" i="9"/>
  <c r="R31" i="9" l="1"/>
  <c r="S29" i="9" s="1"/>
  <c r="R26" i="9"/>
  <c r="S20" i="9" s="1"/>
  <c r="R20" i="9"/>
  <c r="S16" i="9" s="1"/>
  <c r="T16" i="9" l="1"/>
  <c r="V16" i="9" s="1"/>
  <c r="R39" i="9" l="1"/>
  <c r="S36" i="9" s="1"/>
  <c r="O41" i="9" l="1"/>
  <c r="L41" i="9"/>
  <c r="K41" i="9"/>
  <c r="J60" i="9" l="1"/>
  <c r="O60" i="9" s="1"/>
  <c r="J63" i="9"/>
  <c r="O63" i="9" s="1"/>
  <c r="J56" i="9"/>
  <c r="O56" i="9" s="1"/>
  <c r="J51" i="9"/>
  <c r="J54" i="9" s="1"/>
  <c r="H41" i="9"/>
  <c r="J42" i="9"/>
  <c r="O42" i="9" s="1"/>
  <c r="O54" i="9" l="1"/>
  <c r="J57" i="9"/>
  <c r="O51" i="9"/>
  <c r="J16" i="9"/>
  <c r="H44" i="9"/>
  <c r="J20" i="9" l="1"/>
  <c r="O20" i="9" s="1"/>
  <c r="O16" i="9"/>
  <c r="O57" i="9"/>
  <c r="J58" i="9"/>
  <c r="J26" i="9"/>
  <c r="J61" i="9" l="1"/>
  <c r="O61" i="9" s="1"/>
  <c r="O58" i="9"/>
  <c r="J29" i="9"/>
  <c r="O26" i="9"/>
  <c r="AI64" i="9"/>
  <c r="AI65" i="9" s="1"/>
  <c r="AI66" i="9" s="1"/>
  <c r="AJ64" i="9"/>
  <c r="AJ65" i="9" s="1"/>
  <c r="AJ66" i="9" s="1"/>
  <c r="AK64" i="9"/>
  <c r="AK65" i="9" s="1"/>
  <c r="AK66" i="9" s="1"/>
  <c r="AL64" i="9"/>
  <c r="AL65" i="9" s="1"/>
  <c r="AL66" i="9" s="1"/>
  <c r="AM64" i="9"/>
  <c r="AM65" i="9" s="1"/>
  <c r="AM66" i="9" s="1"/>
  <c r="AN64" i="9"/>
  <c r="AN65" i="9" s="1"/>
  <c r="AN66" i="9" s="1"/>
  <c r="AO64" i="9"/>
  <c r="AO65" i="9" s="1"/>
  <c r="AO66" i="9" s="1"/>
  <c r="AP64" i="9"/>
  <c r="AP65" i="9" s="1"/>
  <c r="AP66" i="9" s="1"/>
  <c r="AQ64" i="9"/>
  <c r="AQ65" i="9" s="1"/>
  <c r="AQ66" i="9" s="1"/>
  <c r="AD58" i="9"/>
  <c r="R58" i="9"/>
  <c r="S54" i="9" s="1"/>
  <c r="R54" i="9"/>
  <c r="S51" i="9" s="1"/>
  <c r="R51" i="9"/>
  <c r="S39" i="9" s="1"/>
  <c r="R36" i="9"/>
  <c r="S31" i="9" s="1"/>
  <c r="R29" i="9"/>
  <c r="AH16" i="9"/>
  <c r="AI15" i="9"/>
  <c r="AJ15" i="9"/>
  <c r="AK15" i="9"/>
  <c r="AL15" i="9"/>
  <c r="AM15" i="9"/>
  <c r="AN15" i="9"/>
  <c r="AO15" i="9"/>
  <c r="AP15" i="9"/>
  <c r="AQ15" i="9"/>
  <c r="R15" i="9" l="1"/>
  <c r="S26" i="9"/>
  <c r="T26" i="9" s="1"/>
  <c r="T20" i="9"/>
  <c r="W20" i="9" s="1"/>
  <c r="T29" i="9"/>
  <c r="Y29" i="9" s="1"/>
  <c r="T36" i="9"/>
  <c r="AA36" i="9" s="1"/>
  <c r="T51" i="9"/>
  <c r="AC51" i="9" s="1"/>
  <c r="T58" i="9"/>
  <c r="J31" i="9"/>
  <c r="J36" i="9" s="1"/>
  <c r="J39" i="9" s="1"/>
  <c r="O29" i="9"/>
  <c r="T54" i="9"/>
  <c r="AD54" i="9" s="1"/>
  <c r="T39" i="9"/>
  <c r="AB39" i="9" s="1"/>
  <c r="T31" i="9"/>
  <c r="Z31" i="9" s="1"/>
  <c r="AH58" i="9"/>
  <c r="AG58" i="9"/>
  <c r="AH54" i="9"/>
  <c r="AG54" i="9"/>
  <c r="AH51" i="9"/>
  <c r="AG51" i="9"/>
  <c r="AH39" i="9"/>
  <c r="AG39" i="9"/>
  <c r="AH36" i="9"/>
  <c r="AG36" i="9"/>
  <c r="AH31" i="9"/>
  <c r="AG31" i="9"/>
  <c r="AH29" i="9"/>
  <c r="AG29" i="9"/>
  <c r="AH26" i="9"/>
  <c r="AG26" i="9"/>
  <c r="AH20" i="9"/>
  <c r="AG20" i="9"/>
  <c r="AH15" i="9"/>
  <c r="AG16" i="9"/>
  <c r="X26" i="9" l="1"/>
  <c r="AE58" i="9"/>
  <c r="AE64" i="9" s="1"/>
  <c r="AE65" i="9" s="1"/>
  <c r="AH64" i="9"/>
  <c r="AH65" i="9" s="1"/>
  <c r="AH66" i="9" s="1"/>
  <c r="O31" i="9"/>
  <c r="AG15" i="9"/>
  <c r="AG64" i="9"/>
  <c r="AG65" i="9" s="1"/>
  <c r="AG66" i="9" s="1"/>
  <c r="I26" i="7"/>
  <c r="U64" i="9"/>
  <c r="U65" i="9" s="1"/>
  <c r="O36" i="9" l="1"/>
  <c r="O39" i="9"/>
  <c r="X64" i="9"/>
  <c r="X65" i="9" s="1"/>
  <c r="R64" i="9"/>
  <c r="R65" i="9" s="1"/>
  <c r="AC64" i="9"/>
  <c r="AC65" i="9" s="1"/>
  <c r="Y64" i="9"/>
  <c r="Y65" i="9" s="1"/>
  <c r="AB64" i="9"/>
  <c r="AB65" i="9" s="1"/>
  <c r="W64" i="9"/>
  <c r="W65" i="9" s="1"/>
  <c r="AA64" i="9"/>
  <c r="AA65" i="9" s="1"/>
  <c r="Z64" i="9"/>
  <c r="Z65" i="9" s="1"/>
  <c r="M60" i="9"/>
  <c r="H60" i="9"/>
  <c r="M63" i="9"/>
  <c r="H63" i="9"/>
  <c r="M58" i="9"/>
  <c r="H58" i="9"/>
  <c r="M54" i="9"/>
  <c r="H54" i="9"/>
  <c r="M53" i="9"/>
  <c r="H53" i="9"/>
  <c r="M51" i="9"/>
  <c r="H51" i="9"/>
  <c r="M44" i="9"/>
  <c r="M39" i="9"/>
  <c r="M33" i="9"/>
  <c r="M29" i="9"/>
  <c r="M22" i="9"/>
  <c r="H33" i="9"/>
  <c r="H29" i="9"/>
  <c r="H22" i="9"/>
  <c r="H18" i="9"/>
  <c r="U15" i="9"/>
  <c r="G12" i="6" l="1"/>
  <c r="H12" i="6"/>
  <c r="I12" i="6"/>
  <c r="J12" i="6"/>
  <c r="K12" i="6"/>
  <c r="L12" i="6"/>
  <c r="M12" i="6"/>
  <c r="N12" i="6"/>
  <c r="O12" i="6"/>
  <c r="F12" i="6"/>
  <c r="V64" i="9" l="1"/>
  <c r="V65" i="9" s="1"/>
  <c r="L55" i="7"/>
  <c r="L51" i="7"/>
  <c r="L48" i="7"/>
  <c r="L36" i="7"/>
  <c r="L33" i="7"/>
  <c r="L28" i="7"/>
  <c r="L26" i="7"/>
  <c r="L23" i="7"/>
  <c r="L17" i="7"/>
  <c r="L13" i="7"/>
  <c r="AE15" i="9"/>
  <c r="AB15" i="9"/>
  <c r="AA15" i="9"/>
  <c r="Y15" i="9"/>
  <c r="X15" i="9"/>
  <c r="AC15" i="9"/>
  <c r="L12" i="7" l="1"/>
  <c r="L61" i="7" s="1"/>
  <c r="L62" i="7" s="1"/>
  <c r="U66" i="9"/>
  <c r="AE66" i="9" l="1"/>
  <c r="AA66" i="9"/>
  <c r="X66" i="9"/>
  <c r="AB66" i="9"/>
  <c r="Y66" i="9"/>
  <c r="S64" i="9" l="1"/>
  <c r="S65" i="9" s="1"/>
  <c r="T64" i="9"/>
  <c r="T65" i="9" s="1"/>
  <c r="T66" i="9" s="1"/>
  <c r="AC66" i="9"/>
  <c r="AD64" i="9" l="1"/>
  <c r="AD65" i="9" s="1"/>
  <c r="AD66" i="9" s="1"/>
  <c r="AD15" i="9"/>
  <c r="N12" i="7" l="1"/>
  <c r="N61" i="7" s="1"/>
  <c r="M12" i="7" l="1"/>
  <c r="M61" i="7" s="1"/>
  <c r="E12" i="6"/>
  <c r="D12" i="6" s="1"/>
  <c r="E13" i="6"/>
  <c r="D13" i="6" s="1"/>
  <c r="E14" i="6"/>
  <c r="D14" i="6" s="1"/>
  <c r="T12" i="7" l="1"/>
  <c r="T61" i="7" s="1"/>
  <c r="S66" i="9"/>
  <c r="S15" i="9"/>
  <c r="V15" i="9" l="1"/>
  <c r="V66" i="9"/>
  <c r="W66" i="9"/>
  <c r="W15" i="9"/>
  <c r="Z66" i="9"/>
  <c r="Z15" i="9"/>
  <c r="T15" i="9"/>
  <c r="R66" i="9" l="1"/>
</calcChain>
</file>

<file path=xl/sharedStrings.xml><?xml version="1.0" encoding="utf-8"?>
<sst xmlns="http://schemas.openxmlformats.org/spreadsheetml/2006/main" count="912" uniqueCount="380">
  <si>
    <t>Приложение</t>
  </si>
  <si>
    <t>УТВЕРЖДЕНА</t>
  </si>
  <si>
    <t>Форма</t>
  </si>
  <si>
    <t>приказом Министерства строительства
и жилищно-коммунального хозяйства
Российской Федерации
№ 103/пр от 16.02.2023</t>
  </si>
  <si>
    <t>№ 1-ИП ТС</t>
  </si>
  <si>
    <t>(наименование регулируемой организации)</t>
  </si>
  <si>
    <t>Местонахождение регулируемой организации</t>
  </si>
  <si>
    <t>Сроки реализации инвестиционной программы</t>
  </si>
  <si>
    <t>Контакты ответственных за разработку инвестиционной программы лиц</t>
  </si>
  <si>
    <t>Наименование исполнительного органа субъекта Российской Федерации или органа местного самоуправления, утвердившего инвестиционную программу</t>
  </si>
  <si>
    <t>Местонахождение исполнительного органа субъекта Российской Федерации или органа местного самоуправления, утвердившего инвестиционную программу</t>
  </si>
  <si>
    <t>Должностное лицо уполномоченного ответственного органа, утвердившее инвестиционную программу</t>
  </si>
  <si>
    <t>Контакты ответственных за утверждение инвестиционной программы лиц</t>
  </si>
  <si>
    <t>Наименование органа местного самоуправления, согласовавшего инвестиционную программу</t>
  </si>
  <si>
    <t>Местонахождение органа местного самоуправления, согласовавшего инвестиционную программу</t>
  </si>
  <si>
    <t>Должностное лицо уполномоченного ответственного органа, согласовавшее инвестиционную программу</t>
  </si>
  <si>
    <t>Контакты ответственных за согласование инвестиционной программы лиц</t>
  </si>
  <si>
    <t>М.П. (при наличии)</t>
  </si>
  <si>
    <t>Наименование регулируемой организации, 
в отношении которой разрабатывается инвестиционная программа в сфере теплоснабжения</t>
  </si>
  <si>
    <t>Лицо, ответственное за разработку 
инвестиционной программы</t>
  </si>
  <si>
    <t>№ 2-ИП ТС</t>
  </si>
  <si>
    <t>№ п/п</t>
  </si>
  <si>
    <t>Наименование мероприятий</t>
  </si>
  <si>
    <t>Кадастровый номер объекта (участка объекта)</t>
  </si>
  <si>
    <t>Вид объекта</t>
  </si>
  <si>
    <t>Описание и место расположения объекта</t>
  </si>
  <si>
    <t>1</t>
  </si>
  <si>
    <t>2</t>
  </si>
  <si>
    <t>3</t>
  </si>
  <si>
    <t>4</t>
  </si>
  <si>
    <t>5</t>
  </si>
  <si>
    <t>Условный диаметр, мм</t>
  </si>
  <si>
    <t>6.1</t>
  </si>
  <si>
    <t>6.2</t>
  </si>
  <si>
    <t>Пропускная способность, т/ч</t>
  </si>
  <si>
    <t>6.3</t>
  </si>
  <si>
    <t>Способ прокладки</t>
  </si>
  <si>
    <t>6.4</t>
  </si>
  <si>
    <t>Тепловая нагрузка, Гкал/ч</t>
  </si>
  <si>
    <t>6.5</t>
  </si>
  <si>
    <t>7.1</t>
  </si>
  <si>
    <t>7.2</t>
  </si>
  <si>
    <t>7.3</t>
  </si>
  <si>
    <t>7.4</t>
  </si>
  <si>
    <t>7.5</t>
  </si>
  <si>
    <t>Год начала реализации</t>
  </si>
  <si>
    <t>8</t>
  </si>
  <si>
    <t>9</t>
  </si>
  <si>
    <t>Год окончания реализации</t>
  </si>
  <si>
    <t>Всего:</t>
  </si>
  <si>
    <t>10.4</t>
  </si>
  <si>
    <t>10.1</t>
  </si>
  <si>
    <t>10.2</t>
  </si>
  <si>
    <t>10.3</t>
  </si>
  <si>
    <t>ПИР</t>
  </si>
  <si>
    <t>СМР</t>
  </si>
  <si>
    <t>10.5</t>
  </si>
  <si>
    <t>10.6</t>
  </si>
  <si>
    <t>10.7</t>
  </si>
  <si>
    <t>10.8</t>
  </si>
  <si>
    <t>Амортизация (стр. 1.1 ФП)</t>
  </si>
  <si>
    <t>11.1</t>
  </si>
  <si>
    <t>11.2</t>
  </si>
  <si>
    <t>11.3</t>
  </si>
  <si>
    <t>11.4</t>
  </si>
  <si>
    <t>Прочие собственные средства (стр. 1.4 ФП)</t>
  </si>
  <si>
    <t>11.5.1</t>
  </si>
  <si>
    <t>11.5.2</t>
  </si>
  <si>
    <t>Прочие источники финанси-рования (стр. 5 ФП)</t>
  </si>
  <si>
    <t>11.10</t>
  </si>
  <si>
    <t>Бюджетные средства по каждой системе централизованного теплоснабжения с выделением расходов концедента на строительство, модернизацию и (или) реконструкцию объекта концессионного соглашения по каждой системе централизованного теплоснабжения при наличии таких расходов (стр. 4 ФП)</t>
  </si>
  <si>
    <t>11.9</t>
  </si>
  <si>
    <t>11.6</t>
  </si>
  <si>
    <t>11.7</t>
  </si>
  <si>
    <t>11.8</t>
  </si>
  <si>
    <t>Тепловая сеть</t>
  </si>
  <si>
    <t>до реализации мероприятия</t>
  </si>
  <si>
    <t>после реализации мероприятия</t>
  </si>
  <si>
    <t>Наименование и значение показателя</t>
  </si>
  <si>
    <t>Основные технические характеристики</t>
  </si>
  <si>
    <t>в том числе:</t>
  </si>
  <si>
    <t>Плановые расходы</t>
  </si>
  <si>
    <t>Финансирование, в т.ч. по годам</t>
  </si>
  <si>
    <t>Расходы на реализацию мероприятий в прогнозных ценах, тыс. руб. без НДС</t>
  </si>
  <si>
    <t>Расшифровка источников финансирования инвестиционной программы, тыс. руб. без НДС</t>
  </si>
  <si>
    <t>Экономия расходов (стр. 1.5 ФП)</t>
  </si>
  <si>
    <t>Средства, полученные 
за счет платы 
за подключение (стр. 1.3 ФП)</t>
  </si>
  <si>
    <t>в результате реализации мероприятий инвестицион-ной программы</t>
  </si>
  <si>
    <t>1.3.1</t>
  </si>
  <si>
    <t>1.3.2</t>
  </si>
  <si>
    <t>3.1. Реконструкция или модернизация существующих тепловых сетей</t>
  </si>
  <si>
    <t>№ 3-ИП ТС</t>
  </si>
  <si>
    <t>Удельный расход условного топлива на выработку единицы тепловой энергии и (или) теплоносителя</t>
  </si>
  <si>
    <t>Объем присоединяемой тепловой нагрузки новых потребителей</t>
  </si>
  <si>
    <t>Процент износа объектов системы теплоснабжения с выделением процента износа объектов, существующих на начало реализации инвестиционной программы</t>
  </si>
  <si>
    <t>Потери теплоносителя при передаче тепловой энергии 
по тепловым сетям</t>
  </si>
  <si>
    <t>Потери тепловой энергии при передаче тепловой энергии 
по тепловым сетям</t>
  </si>
  <si>
    <t>Удельный расход электрической энергии 
на транспортировку теплоносителя</t>
  </si>
  <si>
    <t>Ед. изм.</t>
  </si>
  <si>
    <t>кВт·ч/м3</t>
  </si>
  <si>
    <t>т.у.т./Гкал</t>
  </si>
  <si>
    <t>т.у.т./м3</t>
  </si>
  <si>
    <t>Гкал/ч</t>
  </si>
  <si>
    <t>%</t>
  </si>
  <si>
    <t>Гкал в год</t>
  </si>
  <si>
    <t>% от полезного отпуска тепловой энергии</t>
  </si>
  <si>
    <t>тонн в год для воды</t>
  </si>
  <si>
    <t>куб. м для пара</t>
  </si>
  <si>
    <t>Фактические значения</t>
  </si>
  <si>
    <t>Текущее значение</t>
  </si>
  <si>
    <t>Плановые значения</t>
  </si>
  <si>
    <t>в т.ч. по годам реализации</t>
  </si>
  <si>
    <t>№ 4-ИП ТС</t>
  </si>
  <si>
    <t>Плановое 
значение</t>
  </si>
  <si>
    <t>18</t>
  </si>
  <si>
    <t>15</t>
  </si>
  <si>
    <t>16</t>
  </si>
  <si>
    <t>17</t>
  </si>
  <si>
    <t>Величина технологических потерь при передаче тепловой энергии, теплоносителя 
по тепловым сетям 
(для организаций, эксплуатирующих объекты теплоснабжения на основании концессионного соглашения дополнительно указываются 
по каждому участку тепловой сети)</t>
  </si>
  <si>
    <t>Отношение величины технологических потерь 
тепловой энергии, 
теплоносителя 
к материальной 
характеристике тепловой сети</t>
  </si>
  <si>
    <t>11</t>
  </si>
  <si>
    <t>12</t>
  </si>
  <si>
    <t>13</t>
  </si>
  <si>
    <t>14</t>
  </si>
  <si>
    <t>Удельный расход топлива 
на производство единицы тепловой энергии, отпускаемой с коллекторов источников тепловой энергии (для организаций, эксплуатирующих объекты теплоснабжения на основании концессионного соглашения дополнительно указываются по каждому объекту теплоснабжения)</t>
  </si>
  <si>
    <t>6</t>
  </si>
  <si>
    <t>7</t>
  </si>
  <si>
    <t>10</t>
  </si>
  <si>
    <t>Показатели энергетической эффективности</t>
  </si>
  <si>
    <t>Показатели надежности</t>
  </si>
  <si>
    <t>Наименование объекта</t>
  </si>
  <si>
    <t>Количество прекращений подачи тепловой энергии, теплоносителя в результате технологических нарушений 
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</si>
  <si>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
на источниках тепловой энергии на 1 Гкал/час установленной мощности</t>
  </si>
  <si>
    <t>№ 5-ИП ТС</t>
  </si>
  <si>
    <t>Финансовый план</t>
  </si>
  <si>
    <t>№ 
п/п</t>
  </si>
  <si>
    <t>1.1</t>
  </si>
  <si>
    <t>1.2</t>
  </si>
  <si>
    <t>1.3</t>
  </si>
  <si>
    <t>1.4</t>
  </si>
  <si>
    <t>Собственные средства</t>
  </si>
  <si>
    <t>достигнутая в результате реализации мероприятий инвестиционной программы</t>
  </si>
  <si>
    <t>связанная с сокращением потерь в тепловых сетях, сменой видов и (или) марки основного 
и (или) резервного топлива на источниках тепловой энергии, реализацией энергосервисного договора (контракта) 
в размере, определенном по решению регулируемой организации,</t>
  </si>
  <si>
    <t>амортизационные отчисления с выделением результатов переоценки основных средств 
и нематериальных активов</t>
  </si>
  <si>
    <t>расходы на капитальные вложения (инвестиции), финансируемые за счет нормативной прибыли, учитываемой 
в необходимой валовой выручке</t>
  </si>
  <si>
    <t>1.5</t>
  </si>
  <si>
    <t>2.</t>
  </si>
  <si>
    <t>расходы на уплату лизинговых платежей 
по договору финансовой аренды (лизинга)</t>
  </si>
  <si>
    <t>Иные собственные средства, за исключением средств, указанных в разделе 1</t>
  </si>
  <si>
    <t>Средства, привлеченные на возвратной основе</t>
  </si>
  <si>
    <t>3.1</t>
  </si>
  <si>
    <t>3.2</t>
  </si>
  <si>
    <t>3.3</t>
  </si>
  <si>
    <t>кредиты</t>
  </si>
  <si>
    <t>займы организаций</t>
  </si>
  <si>
    <t>прочие привлеченные средства</t>
  </si>
  <si>
    <t>Бюджетные средства по каждой системе централизованного теплоснабжения 
с выделением расходов концедента 
на строительство, модернизацию 
и (или) реконструкцию объекта концессионного соглашения по каждой системе централизованного теплоснабжения 
при наличии таких расходов</t>
  </si>
  <si>
    <t>Прочие источники финансирования</t>
  </si>
  <si>
    <t>по видам деятельности 
(при наличии нескольких регулируемых видов деятельности, указывается каждый 
в отдельном столбце, для которого проектируется инвестиционная 
программа)</t>
  </si>
  <si>
    <t>Всего</t>
  </si>
  <si>
    <t>По мероприятиям, согласно Форме № 2-ИП ТС</t>
  </si>
  <si>
    <t>экономия расходов</t>
  </si>
  <si>
    <t>плата за подключение (технологическое присоединение) к системам централизованного теплоснабжения 
(раздельно по каждой системе, если регулируемая организация эксплуатирует несколько таких систем)</t>
  </si>
  <si>
    <t>по годам реализации 
(указывается по каждому году реализации, на который проектируется инвестиционная программа, в отдельном 
столбце)</t>
  </si>
  <si>
    <t>Наименование мероприятия</t>
  </si>
  <si>
    <t>план</t>
  </si>
  <si>
    <t>факт</t>
  </si>
  <si>
    <t>8.1</t>
  </si>
  <si>
    <t>8.2</t>
  </si>
  <si>
    <t>8.3</t>
  </si>
  <si>
    <t>8.4</t>
  </si>
  <si>
    <t>8.5</t>
  </si>
  <si>
    <t>8.6</t>
  </si>
  <si>
    <t>Амортизация</t>
  </si>
  <si>
    <t>Прочие собственные средства</t>
  </si>
  <si>
    <t>Экономия расходов</t>
  </si>
  <si>
    <t>8.7</t>
  </si>
  <si>
    <t>8.8</t>
  </si>
  <si>
    <t>8.9</t>
  </si>
  <si>
    <t>Иные собственные средства</t>
  </si>
  <si>
    <t>8.10</t>
  </si>
  <si>
    <t>8.11</t>
  </si>
  <si>
    <t>Примечание</t>
  </si>
  <si>
    <t>Год начала реализации мероприятия</t>
  </si>
  <si>
    <t>Год окончания реализации мероприятия</t>
  </si>
  <si>
    <t>Основные технические характеристики после реализации мероприятия</t>
  </si>
  <si>
    <t>Стоимость мероприятий, тыс. руб. (без НДС)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</si>
  <si>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</si>
  <si>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Протяженность 
(в однотрубном исчислении), км</t>
  </si>
  <si>
    <t>Прибыль, направленная 
на инвестиции</t>
  </si>
  <si>
    <t>Средства, полученные 
за счет платы 
за подключение</t>
  </si>
  <si>
    <t>Расходы на оплату лизинговых платежей 
по договору финансовой аренды (лизинг)</t>
  </si>
  <si>
    <t>Привлеченные средства 
на возвратной основе</t>
  </si>
  <si>
    <t>Бюджетные средства по каждой системе централизованного теплоснабжения 
с выделением расходов концедента 
на строительство, модернизацию 
и (или) реконструкцию объекта концессионного соглашения по каждой системе централизованного теплоснабжения при наличии таких расходов</t>
  </si>
  <si>
    <t>№ 6.2-ИП ТС</t>
  </si>
  <si>
    <t>связанную с сокращением потерь в тепловых сетях, сменой видов и (или) марки основного и (или) резервного топлива на источниках тепловой энергии, реализацией энергосервисного договора (контракта) в размере, определенном по решению регулируемой организации, плату за подключение (технологическое присоединение) к системам централизованного теплоснабжения (раздельно по каждой системе, если регулируемая организация эксплуатирует несколько таких систем)</t>
  </si>
  <si>
    <t>Группа 3. Реконструкция или модернизация существующих объектов системы централизованного теплоснабжения в целях снижения уровня износа существующих объектов системы централизованного теплоснабжения и (или) поставки энергии от разных источников</t>
  </si>
  <si>
    <t>7.6</t>
  </si>
  <si>
    <t>Расходы 
на оплату лизинговых платежей 
по договору финансо-вой аренды (лизинга) (стр. 1.6 ФП)</t>
  </si>
  <si>
    <r>
      <t>Показатели, характеризующие снижение негативного воздействия на окружающую среду в соответствии с подпунктом "ж" пункта 10 Правил согласования и утверждения инвестиционных программ организаций, осуществляющих регулируемые виды деятельности в</t>
    </r>
    <r>
      <rPr>
        <sz val="7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сфере теплоснабжения, а также требований к составу и</t>
    </r>
    <r>
      <rPr>
        <sz val="7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содержанию таких программ (за исключением таких программ, утверждаемых в соответствии с законодательством Российской Федерации об электроэнергетике), утвержденных постановлением Правительства Российской Федерации от 5 мая 2014 г. № 410</t>
    </r>
  </si>
  <si>
    <t>Министерство жилищной политики, энергетики и транспорта Иркутской области</t>
  </si>
  <si>
    <t>Иркутская область, г. Иркутск, ул. Горького, д. 31, 664011</t>
  </si>
  <si>
    <t>Заместитель министра жилищной политики, энергетики и транспорта Иркутской области Е.П. Ветров</t>
  </si>
  <si>
    <t>10.9</t>
  </si>
  <si>
    <t>10.10</t>
  </si>
  <si>
    <t>10.11</t>
  </si>
  <si>
    <t>10.12</t>
  </si>
  <si>
    <t>10.13</t>
  </si>
  <si>
    <t>10.14</t>
  </si>
  <si>
    <t>10.15</t>
  </si>
  <si>
    <t>2030</t>
  </si>
  <si>
    <t>2026</t>
  </si>
  <si>
    <t>2028</t>
  </si>
  <si>
    <t>2024</t>
  </si>
  <si>
    <t>2027</t>
  </si>
  <si>
    <t>19</t>
  </si>
  <si>
    <t>20</t>
  </si>
  <si>
    <t>21</t>
  </si>
  <si>
    <t>22</t>
  </si>
  <si>
    <t>23</t>
  </si>
  <si>
    <t>24</t>
  </si>
  <si>
    <t>25</t>
  </si>
  <si>
    <t>-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</si>
  <si>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</si>
  <si>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</si>
  <si>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</si>
  <si>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</si>
  <si>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</si>
  <si>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</si>
  <si>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</si>
  <si>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</si>
  <si>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</si>
  <si>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</si>
  <si>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</si>
  <si>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</si>
  <si>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</si>
  <si>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</si>
  <si>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</si>
  <si>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</si>
  <si>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</si>
  <si>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</si>
  <si>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</si>
  <si>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</si>
  <si>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</si>
  <si>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</si>
  <si>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</si>
  <si>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</si>
  <si>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</si>
  <si>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</si>
  <si>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</si>
  <si>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</si>
  <si>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</si>
  <si>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</si>
  <si>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</si>
  <si>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</si>
  <si>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регулируемый вид деятельности</t>
  </si>
  <si>
    <t>не регулируемый вид деятельности</t>
  </si>
  <si>
    <t>2025</t>
  </si>
  <si>
    <t>2029</t>
  </si>
  <si>
    <t>кВт•ч/Гкал</t>
  </si>
  <si>
    <t xml:space="preserve">Администрация городского поселения Белореченского муниципального образования </t>
  </si>
  <si>
    <t>Глава Белореченского муниципального образования Моисеев Алексей Николаевич</t>
  </si>
  <si>
    <t>Тел.: 8(39543)25500, E-mail: belorechenskoe@mail.ru</t>
  </si>
  <si>
    <t>665479, Иркутская область, Усольский район, р.п. Белореченский, ЗД 100-В</t>
  </si>
  <si>
    <t xml:space="preserve">Общество с ограниченной ответственностью «Иркутская теплосетевая компания» </t>
  </si>
  <si>
    <t>664007, г. Иркутск, ул. Ямская, д. 12, оф. 3</t>
  </si>
  <si>
    <t>Генеральный директор ООО «Иркутская теплосетевая компания» Хвостов Алексей Юрьевич</t>
  </si>
  <si>
    <t>Общества с ограниченной ответственностью «Иркутская теплосетевая компания»</t>
  </si>
  <si>
    <t>Генеральный директор ООО «Иркутская теплосетевая компания»</t>
  </si>
  <si>
    <t>А.Ю. Хвостов</t>
  </si>
  <si>
    <t>Общество с ограниченной ответственностью «Иркутская теплосетевая компания»</t>
  </si>
  <si>
    <t>Привлеченные средства на возвратной основе (стр. 23 ФП)</t>
  </si>
  <si>
    <t>Прибыль, направлен-ная на 
инвестиции (стр. 1.2 ФП)</t>
  </si>
  <si>
    <t>в сфере теплоснабжения на 2024-2033 годы</t>
  </si>
  <si>
    <t>2024 - 2033 года</t>
  </si>
  <si>
    <t>Перекладка (реконструкция) ветхих участков  внутриквартальных тепловых сетей, ежегодно по 0,1 км. средним диаметром 158 мм. в тч:</t>
  </si>
  <si>
    <t>38:16:000000:319</t>
  </si>
  <si>
    <t>38:16:000040:1633</t>
  </si>
  <si>
    <t xml:space="preserve"> р.п. Белореченский, Усольского района, Иркутской области</t>
  </si>
  <si>
    <t>Иркутская область, Усольский район, р.п. Белореченский, в/г № 1</t>
  </si>
  <si>
    <t>2033</t>
  </si>
  <si>
    <t>2031</t>
  </si>
  <si>
    <t>2032</t>
  </si>
  <si>
    <t>Тепловая сеть р.п. Белореченский, Белореченского муниципального образования</t>
  </si>
  <si>
    <t>Всего по группе 3, тыс. руб. без НДС</t>
  </si>
  <si>
    <t>ИТОГО по программе, тыс. руб. без НДС</t>
  </si>
  <si>
    <t>ИТОГО по программе, тыс. руб. с НДС</t>
  </si>
  <si>
    <t>Отчет о достижении плановых показателей надежности и энергетической 
эффективности объектов системы централизованного теплоснабжения 
за предыдущий 2023 год</t>
  </si>
  <si>
    <t xml:space="preserve">Отношение величины технологических потерь 
тепловой энергии, 
теплоносителя 
к материальной 
характеристике тепловой сети, Гкал/м2  </t>
  </si>
  <si>
    <t>Удельный расход топлива 
на производство единицы тепловой энергии, 
отпускаемой с коллекторов источников тепловой энергии, кг. у.т./Гкал
(для организаций, эксплуатирующих объекты теплоснабжения на основании концессионного соглашения дополнительно указываются 
по каждому объекту теплоснабжения)</t>
  </si>
  <si>
    <t>Величина технологических потерь при передаче тепловой энергии, теплоносителя 
по тепловым сетям, тыс. Гкал 
(для организаций, эксплуатирующих объекты теплоснабжения на основании концессионного соглашения дополнительно указываются 
по каждому участку тепловой сети)</t>
  </si>
  <si>
    <t>Количество прекращений подачи тепловой энергии, теплоносителя в результате технологических нарушений 
на тепловых сетях на 1 км тепловых сетей, ед./км</t>
  </si>
  <si>
    <t>тепловая сеть</t>
  </si>
  <si>
    <t>Тел.: 8(3952) 43-40-37, E-mail: itsk@irkutskteploservis.ru</t>
  </si>
  <si>
    <t xml:space="preserve">                                                                      Показатели надежности и энергетической эффективности объектов
                                                          централизованного теплоснабжения</t>
  </si>
  <si>
    <t xml:space="preserve">                                                                 Общество с ограниченной ответственностью «Иркутская теплосетевая компания»</t>
  </si>
  <si>
    <t xml:space="preserve">                                                                                            (наименование регулируемой организации)</t>
  </si>
  <si>
    <t>Подземная канальная двухтрубная</t>
  </si>
  <si>
    <t>Надземная двухтрубная прокладка</t>
  </si>
  <si>
    <t>Инвестиционная программа "Реконструкция тепловых сетей Белореченского муниципального образования на 2024-2033 годы" организации, осуществляющей 
регулируемые виды деятельности в сфере теплоснабжения</t>
  </si>
  <si>
    <t>Паспорт инвестиционной программы "Реконструкция тепловых сетей Белореченского муниципального образования на 2024-2033 годы" организации, осуществляющей
регулируемые виды деятельности в сфере теплоснабжения</t>
  </si>
  <si>
    <t>Инвестиционная программа "Реконструкция тепловых сетей Белореченского муниципального образования на 2024-2033 годы"</t>
  </si>
  <si>
    <t>Плановые значения показателей, достижение которых предусмотрено 
в результате реализации мероприятий инвестиционной программы "Реконструкция тепловых сетей Белореченского муниципального образования на 2024-2033 годы"</t>
  </si>
  <si>
    <t>Расходы на реализацию инвестиционной программы "Реконструкция тепловых сетей Белореченского муниципального образования на 2024-2033 годы" (тыс. руб. без НДС) 
(с использованием прогнозных индексов цен)</t>
  </si>
  <si>
    <t>Отчет об исполнении инвестиционной программы "Реконструкция тепловых сетей Белореченского муниципального образования на 2024-2033 годы" за 2023 год</t>
  </si>
  <si>
    <t>от ТК-Б-1-1 до дома 62</t>
  </si>
  <si>
    <t>Внутриквартальные сети теплоснабжения № 1от ТК-Б-1 до ТК-Б-1-1 до жилого дома № 62:</t>
  </si>
  <si>
    <t>от ТК-Б-1-2 до дома 63</t>
  </si>
  <si>
    <t>Внутриквартальные сети теплоснабжения № 1 от ТК-Б-1-1 до ТК-Б-1-2 до жилого дома № 63:</t>
  </si>
  <si>
    <t>от ТК-Б-1-3 до (.)Г в районе дома 66</t>
  </si>
  <si>
    <t>Внутриквартальные сети теплоснабжения № 1 от ТК-Б-1-3 до ТК-Б-1-5:</t>
  </si>
  <si>
    <t>от ТК-Б-1 на углу Магазина №111 до ТК-Б-1-1 напротив дома 62</t>
  </si>
  <si>
    <t>от ТК-Б-1-1 до (.)А в районе дома 62</t>
  </si>
  <si>
    <t>от (.)А в районе дома 62 до ТК-Б-1-2 в районе дома 63</t>
  </si>
  <si>
    <t>от ТК-Б-1-2 до (.)Б (Новая камера) в сторону ТЦ "Петровский"</t>
  </si>
  <si>
    <t>от (.) Б (Новая камера) в сторону Павильона</t>
  </si>
  <si>
    <t>Внутриквартальные сети теплоснабжения № 1 от ТК-Б-1-1 до ТК-Б-1-5 до жилого дома № 66:</t>
  </si>
  <si>
    <t>от ТК-Б-1-2 в районе дома 63 до (.)В в сторону ТЦ "Петровский"</t>
  </si>
  <si>
    <t>от (.)Г в районе дома 66 до ТК-Б-1-5 напротив дома 66</t>
  </si>
  <si>
    <t>от ТК-Б-1-5 до дома 66</t>
  </si>
  <si>
    <t>от ТК-Б-1-5 до ТК-Б-1-6 напротив Шиномонтажа</t>
  </si>
  <si>
    <t>от ТК-Б-1-6 до (.)Д в сторону угла поворота</t>
  </si>
  <si>
    <t>Внутриквартальные сети теплоснабжения № 1 от ТК-Б-1-5 до ТК-Б-1-6:</t>
  </si>
  <si>
    <t>от (.)Д до угла поворота</t>
  </si>
  <si>
    <t>от угла поворота до (.)Е напротив дома 65</t>
  </si>
  <si>
    <t>Внутриквартальные сети теплоснабжения № 1от ТК-Б-1-6 до угла поворота:</t>
  </si>
  <si>
    <t>от(.)Е до ТК-Б-1-7 напротив дома 65</t>
  </si>
  <si>
    <t>от ТК-Б-1-7 до дома 65</t>
  </si>
  <si>
    <t>от ТК-Б-1-3 напротив Бара "Багульник" до ТК-Б-1-4 между домами 39 и 40</t>
  </si>
  <si>
    <t>от ТК-Б-1-4 до дома № 39</t>
  </si>
  <si>
    <t>от ТК-Б-1-4 до дома № 40</t>
  </si>
  <si>
    <t>от ТК-Б-1-4 до (.)Ж в сторону Лицея</t>
  </si>
  <si>
    <t>Внутриквартальные сети теплоснабжения № 1 от угла поворота до ТК-Б-1-7 до жилого дома № 65:</t>
  </si>
  <si>
    <t>от ТК-1 до (.)А между ТК-1 и ТП</t>
  </si>
  <si>
    <t>от (.)А до (.)Б между ТК-3 и ТК-4</t>
  </si>
  <si>
    <t>Сооружение (Сеть 506), линейное, лит. ΙΙΙ от ТК-10-1 до ТК-10-4:</t>
  </si>
  <si>
    <t>от (.)Б до ТК-4</t>
  </si>
  <si>
    <t>от ТК-4 до дома 1 (ИНВ.№21)</t>
  </si>
  <si>
    <t>от ТК-4 до (.)В между ТК-4 и ТК-5</t>
  </si>
  <si>
    <t>Сооружение (Сеть 506), линейное, лит. ΙΙΙ от ТК-8 до ТК-9:</t>
  </si>
  <si>
    <t>от (.)В до ТК-5</t>
  </si>
  <si>
    <t>от ТК-5 до дома 2 (ИНВ.№22)</t>
  </si>
  <si>
    <t>от дома 2 (ИНВ.№22) до дома 3 (ИНВ.№23)</t>
  </si>
  <si>
    <t>от ТК-4 до Торгового центра (ИНВ.№25)</t>
  </si>
  <si>
    <t>от ТК-5 до (.)Г между ТК-5 и ТК-6</t>
  </si>
  <si>
    <t>Сооружение (Сеть 506), линейное, лит. ΙΙΙ от ТК-9 до ТК-10:</t>
  </si>
  <si>
    <t>№ 6.1-ИП ТС</t>
  </si>
  <si>
    <t>Протяженность (в однотрубном исчислении), км</t>
  </si>
  <si>
    <t>Остаток финансирования</t>
  </si>
  <si>
    <t>Иные собственные средства (стр. 2 ФП)</t>
  </si>
  <si>
    <t>Профинансировано 
к 2024 году</t>
  </si>
  <si>
    <t>ИНВЕСТИЦИОННАЯ ПРОГРАММА</t>
  </si>
  <si>
    <t>общества с ограниченной ответственностью</t>
  </si>
  <si>
    <t xml:space="preserve"> «Иркутская теплосетевая компания»</t>
  </si>
  <si>
    <t>Реконструкция тепловых сетей Белореченского муниципального образования на 2024-2033 годы</t>
  </si>
  <si>
    <t>р.п. Белореченский, 2024 г.</t>
  </si>
  <si>
    <t>СОГЛАСОВАНО</t>
  </si>
  <si>
    <t xml:space="preserve">
Глава Белореченского муниципального образования</t>
  </si>
  <si>
    <t>________________А.Н.Моисеев</t>
  </si>
  <si>
    <t>УТВЕРЖДЕНО</t>
  </si>
  <si>
    <t>№____ от "___"____________2024г.</t>
  </si>
  <si>
    <t>Исполнитель:  Генеральный директор ООО "ИТСК"</t>
  </si>
  <si>
    <t xml:space="preserve"> А.Ю. Хвостов</t>
  </si>
  <si>
    <t>___________________</t>
  </si>
  <si>
    <t>М.П.</t>
  </si>
  <si>
    <t>от ТК-Б-1-3 напротив Бара "Багульник" до (.)В в сторону ТЦ "Петровский"</t>
  </si>
  <si>
    <t>распоряжением Министерства жилищной политики и энергетики Иркутской области</t>
  </si>
  <si>
    <t>3.1.1</t>
  </si>
  <si>
    <t>3.1.1.1</t>
  </si>
  <si>
    <t>3.1.1.2</t>
  </si>
  <si>
    <t>3.1.1.3</t>
  </si>
  <si>
    <t>3.1.1.4</t>
  </si>
  <si>
    <t>3.1.1.5</t>
  </si>
  <si>
    <t>3.1.1.6</t>
  </si>
  <si>
    <t>3.1.1.7</t>
  </si>
  <si>
    <t>3.1.1.8</t>
  </si>
  <si>
    <t>3.1.1.9</t>
  </si>
  <si>
    <t>3.1.1.10</t>
  </si>
  <si>
    <t>п.3.1.1.2, п.3.1.1.3, п.3.1.1.4, п.3.1.1.5, п.3.1.1.6, п.3.1.1.7, п.3.1.1.8, п.3.1.1.9, п.3.1.1.10</t>
  </si>
  <si>
    <t>п.3.1.1.1, п.3.1.1.2, п.3.1.1.3, п.3.1.1.4, п.3.1.1.5, п.3.1.1.6, п.3.1.1.7, п.3.1.1.8, п.3.1.1.9, п.3.1.1.10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</si>
</sst>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0.00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.8000000000000007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left" vertical="top"/>
    </xf>
    <xf numFmtId="49" fontId="9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49" fontId="14" fillId="0" borderId="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2" fillId="0" borderId="11" xfId="0" applyFont="1" applyBorder="1" applyAlignment="1">
      <alignment horizontal="left" wrapText="1"/>
    </xf>
    <xf numFmtId="166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0" fontId="13" fillId="0" borderId="1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2" fillId="0" borderId="3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left" wrapText="1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13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4" fillId="0" borderId="11" xfId="0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66" fontId="2" fillId="0" borderId="11" xfId="0" applyNumberFormat="1" applyFont="1" applyBorder="1" applyAlignment="1">
      <alignment horizontal="center" wrapText="1"/>
    </xf>
    <xf numFmtId="166" fontId="2" fillId="0" borderId="13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167" fontId="2" fillId="0" borderId="3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67" fontId="2" fillId="0" borderId="3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7" fontId="2" fillId="0" borderId="8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F9186-6874-47E9-AD9A-D1B123C9DB4A}">
  <dimension ref="A1:I48"/>
  <sheetViews>
    <sheetView workbookViewId="0">
      <selection activeCell="K4" sqref="K4"/>
    </sheetView>
  </sheetViews>
  <sheetFormatPr defaultRowHeight="12.75" x14ac:dyDescent="0.2"/>
  <cols>
    <col min="9" max="9" width="14.28515625" customWidth="1"/>
  </cols>
  <sheetData>
    <row r="1" spans="1:9" x14ac:dyDescent="0.2">
      <c r="A1" s="120" t="s">
        <v>356</v>
      </c>
      <c r="G1" s="120" t="s">
        <v>359</v>
      </c>
    </row>
    <row r="2" spans="1:9" ht="51" customHeight="1" x14ac:dyDescent="0.2">
      <c r="A2" s="125" t="s">
        <v>357</v>
      </c>
      <c r="B2" s="125"/>
      <c r="C2" s="125"/>
      <c r="G2" s="125" t="s">
        <v>366</v>
      </c>
      <c r="H2" s="125"/>
      <c r="I2" s="125"/>
    </row>
    <row r="4" spans="1:9" x14ac:dyDescent="0.2">
      <c r="A4" t="s">
        <v>358</v>
      </c>
      <c r="G4" t="s">
        <v>360</v>
      </c>
    </row>
    <row r="15" spans="1:9" ht="25.5" x14ac:dyDescent="0.2">
      <c r="E15" s="118" t="s">
        <v>351</v>
      </c>
    </row>
    <row r="16" spans="1:9" ht="22.5" x14ac:dyDescent="0.2">
      <c r="E16" s="119" t="s">
        <v>352</v>
      </c>
    </row>
    <row r="17" spans="1:9" ht="22.5" x14ac:dyDescent="0.2">
      <c r="E17" s="119" t="s">
        <v>353</v>
      </c>
    </row>
    <row r="18" spans="1:9" ht="52.5" customHeight="1" x14ac:dyDescent="0.2">
      <c r="A18" s="123" t="s">
        <v>354</v>
      </c>
      <c r="B18" s="123"/>
      <c r="C18" s="123"/>
      <c r="D18" s="123"/>
      <c r="E18" s="123"/>
      <c r="F18" s="123"/>
      <c r="G18" s="123"/>
      <c r="H18" s="123"/>
      <c r="I18" s="123"/>
    </row>
    <row r="28" spans="1:9" x14ac:dyDescent="0.2">
      <c r="A28" s="126" t="s">
        <v>361</v>
      </c>
      <c r="B28" s="126"/>
      <c r="C28" s="126"/>
      <c r="D28" s="126"/>
      <c r="E28" s="126"/>
      <c r="F28" s="126"/>
      <c r="G28" s="126"/>
      <c r="H28" s="126"/>
      <c r="I28" s="126"/>
    </row>
    <row r="30" spans="1:9" x14ac:dyDescent="0.2">
      <c r="D30" t="s">
        <v>363</v>
      </c>
      <c r="F30" t="s">
        <v>362</v>
      </c>
    </row>
    <row r="31" spans="1:9" x14ac:dyDescent="0.2">
      <c r="D31" t="s">
        <v>364</v>
      </c>
    </row>
    <row r="48" spans="3:7" ht="15.75" x14ac:dyDescent="0.25">
      <c r="C48" s="124" t="s">
        <v>355</v>
      </c>
      <c r="D48" s="124"/>
      <c r="E48" s="124"/>
      <c r="F48" s="124"/>
      <c r="G48" s="124"/>
    </row>
  </sheetData>
  <mergeCells count="5">
    <mergeCell ref="A18:I18"/>
    <mergeCell ref="C48:G48"/>
    <mergeCell ref="A2:C2"/>
    <mergeCell ref="G2:I2"/>
    <mergeCell ref="A28:I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31"/>
  <sheetViews>
    <sheetView tabSelected="1" zoomScaleNormal="100" zoomScaleSheetLayoutView="100" workbookViewId="0">
      <selection activeCell="CF9" sqref="CF9"/>
    </sheetView>
  </sheetViews>
  <sheetFormatPr defaultColWidth="0.85546875" defaultRowHeight="12.75" customHeight="1" x14ac:dyDescent="0.2"/>
  <cols>
    <col min="1" max="83" width="0.85546875" style="23"/>
    <col min="84" max="84" width="7.5703125" style="23" customWidth="1"/>
    <col min="85" max="93" width="0.85546875" style="23"/>
    <col min="94" max="94" width="0.7109375" style="23" customWidth="1"/>
    <col min="95" max="101" width="0.85546875" style="23" hidden="1" customWidth="1"/>
    <col min="102" max="102" width="2.140625" style="23" customWidth="1"/>
    <col min="103" max="107" width="0.85546875" style="23"/>
    <col min="108" max="108" width="1" style="23" customWidth="1"/>
    <col min="109" max="16384" width="0.85546875" style="23"/>
  </cols>
  <sheetData>
    <row r="1" spans="1:108" s="2" customFormat="1" ht="12.75" customHeight="1" x14ac:dyDescent="0.2">
      <c r="BS1" s="142" t="s">
        <v>0</v>
      </c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</row>
    <row r="2" spans="1:108" s="2" customFormat="1" ht="6" customHeight="1" x14ac:dyDescent="0.2"/>
    <row r="3" spans="1:108" s="2" customFormat="1" ht="18" customHeight="1" x14ac:dyDescent="0.2">
      <c r="BS3" s="143" t="s">
        <v>1</v>
      </c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</row>
    <row r="4" spans="1:108" s="22" customFormat="1" ht="54" customHeight="1" x14ac:dyDescent="0.2">
      <c r="BS4" s="131" t="s">
        <v>3</v>
      </c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</row>
    <row r="5" spans="1:108" ht="12" customHeight="1" x14ac:dyDescent="0.2"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25" customFormat="1" ht="15.75" customHeight="1" x14ac:dyDescent="0.25"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6"/>
      <c r="DC6" s="26"/>
      <c r="DD6" s="26" t="s">
        <v>2</v>
      </c>
    </row>
    <row r="7" spans="1:108" ht="12" customHeight="1" x14ac:dyDescent="0.2"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28" customFormat="1" ht="49.5" customHeight="1" x14ac:dyDescent="0.25">
      <c r="A8" s="130" t="s">
        <v>299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</row>
    <row r="9" spans="1:108" s="3" customFormat="1" ht="12" customHeight="1" x14ac:dyDescent="0.2">
      <c r="BZ9" s="23"/>
    </row>
    <row r="10" spans="1:108" s="27" customFormat="1" ht="15.75" customHeight="1" x14ac:dyDescent="0.2">
      <c r="DD10" s="26" t="s">
        <v>4</v>
      </c>
    </row>
    <row r="11" spans="1:108" s="1" customFormat="1" ht="12" customHeight="1" x14ac:dyDescent="0.2"/>
    <row r="12" spans="1:108" ht="47.25" customHeight="1" x14ac:dyDescent="0.2">
      <c r="A12" s="144" t="s">
        <v>300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</row>
    <row r="13" spans="1:108" s="4" customFormat="1" ht="30" customHeight="1" x14ac:dyDescent="0.25">
      <c r="Y13" s="139" t="s">
        <v>267</v>
      </c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</row>
    <row r="14" spans="1:108" s="1" customFormat="1" ht="13.5" customHeight="1" x14ac:dyDescent="0.2">
      <c r="Y14" s="140" t="s">
        <v>5</v>
      </c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</row>
    <row r="15" spans="1:108" ht="12" customHeight="1" x14ac:dyDescent="0.2"/>
    <row r="16" spans="1:108" ht="39" customHeight="1" x14ac:dyDescent="0.2">
      <c r="A16" s="132" t="s">
        <v>18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4"/>
      <c r="AZ16" s="135" t="s">
        <v>264</v>
      </c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7"/>
    </row>
    <row r="17" spans="1:108" ht="28.5" customHeight="1" x14ac:dyDescent="0.2">
      <c r="A17" s="132" t="s">
        <v>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4"/>
      <c r="AZ17" s="127" t="s">
        <v>265</v>
      </c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9"/>
    </row>
    <row r="18" spans="1:108" ht="12.75" customHeight="1" x14ac:dyDescent="0.2">
      <c r="A18" s="132" t="s">
        <v>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4"/>
      <c r="AZ18" s="127" t="s">
        <v>274</v>
      </c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9"/>
    </row>
    <row r="19" spans="1:108" ht="27" customHeight="1" x14ac:dyDescent="0.2">
      <c r="A19" s="132" t="s">
        <v>19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4"/>
      <c r="AZ19" s="135" t="s">
        <v>266</v>
      </c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7"/>
    </row>
    <row r="20" spans="1:108" ht="27" customHeight="1" x14ac:dyDescent="0.2">
      <c r="A20" s="132" t="s">
        <v>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4"/>
      <c r="AZ20" s="127" t="s">
        <v>293</v>
      </c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1:108" ht="51.75" customHeight="1" x14ac:dyDescent="0.2">
      <c r="A21" s="132" t="s">
        <v>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4"/>
      <c r="AZ21" s="135" t="s">
        <v>200</v>
      </c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7"/>
    </row>
    <row r="22" spans="1:108" ht="51.75" customHeight="1" x14ac:dyDescent="0.2">
      <c r="A22" s="132" t="s">
        <v>10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4"/>
      <c r="AZ22" s="127" t="s">
        <v>201</v>
      </c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ht="27" customHeight="1" x14ac:dyDescent="0.2">
      <c r="A23" s="132" t="s">
        <v>11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4"/>
      <c r="AZ23" s="135" t="s">
        <v>202</v>
      </c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7"/>
    </row>
    <row r="24" spans="1:108" ht="27" customHeight="1" x14ac:dyDescent="0.2">
      <c r="A24" s="132" t="s">
        <v>12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4"/>
      <c r="AZ24" s="127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27" customHeight="1" x14ac:dyDescent="0.2">
      <c r="A25" s="132" t="s">
        <v>13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4"/>
      <c r="AZ25" s="135" t="s">
        <v>260</v>
      </c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7"/>
    </row>
    <row r="26" spans="1:108" ht="27" customHeight="1" x14ac:dyDescent="0.2">
      <c r="A26" s="132" t="s">
        <v>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4"/>
      <c r="AZ26" s="127" t="s">
        <v>263</v>
      </c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27" customHeight="1" x14ac:dyDescent="0.2">
      <c r="A27" s="132" t="s">
        <v>15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4"/>
      <c r="AZ27" s="135" t="s">
        <v>261</v>
      </c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7"/>
    </row>
    <row r="28" spans="1:108" ht="27" customHeight="1" x14ac:dyDescent="0.2">
      <c r="A28" s="132" t="s">
        <v>16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4"/>
      <c r="AZ28" s="127" t="s">
        <v>262</v>
      </c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2.75" customHeight="1" x14ac:dyDescent="0.2">
      <c r="B29" s="29"/>
      <c r="C29" s="29"/>
      <c r="D29" s="29"/>
      <c r="E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s="31" customFormat="1" ht="37.5" customHeight="1" x14ac:dyDescent="0.25">
      <c r="A30" s="141" t="s">
        <v>268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38" t="s">
        <v>269</v>
      </c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</row>
    <row r="31" spans="1:108" s="5" customFormat="1" ht="15.75" customHeight="1" x14ac:dyDescent="0.25">
      <c r="A31" s="5" t="s">
        <v>17</v>
      </c>
    </row>
  </sheetData>
  <mergeCells count="35">
    <mergeCell ref="A28:AY28"/>
    <mergeCell ref="AZ25:DD25"/>
    <mergeCell ref="AZ26:DD26"/>
    <mergeCell ref="AZ27:DD27"/>
    <mergeCell ref="AZ28:DD28"/>
    <mergeCell ref="BS1:DD1"/>
    <mergeCell ref="BS3:DD3"/>
    <mergeCell ref="A12:DD12"/>
    <mergeCell ref="AZ16:DD16"/>
    <mergeCell ref="A16:AY16"/>
    <mergeCell ref="AZ30:DD30"/>
    <mergeCell ref="Y13:CF13"/>
    <mergeCell ref="Y14:CF14"/>
    <mergeCell ref="AZ17:DD17"/>
    <mergeCell ref="AZ18:DD18"/>
    <mergeCell ref="AZ19:DD19"/>
    <mergeCell ref="A22:AY22"/>
    <mergeCell ref="A23:AY23"/>
    <mergeCell ref="A17:AY17"/>
    <mergeCell ref="A30:AY30"/>
    <mergeCell ref="A18:AY18"/>
    <mergeCell ref="A19:AY19"/>
    <mergeCell ref="A25:AY25"/>
    <mergeCell ref="A26:AY26"/>
    <mergeCell ref="A21:AY21"/>
    <mergeCell ref="A27:AY27"/>
    <mergeCell ref="AZ20:DD20"/>
    <mergeCell ref="A8:DD8"/>
    <mergeCell ref="BS4:DD4"/>
    <mergeCell ref="A24:AY24"/>
    <mergeCell ref="AZ21:DD21"/>
    <mergeCell ref="AZ22:DD22"/>
    <mergeCell ref="AZ23:DD23"/>
    <mergeCell ref="AZ24:DD24"/>
    <mergeCell ref="A20:AY20"/>
  </mergeCells>
  <phoneticPr fontId="1" type="noConversion"/>
  <pageMargins left="0.78740157480314965" right="0.31496062992125984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E70"/>
  <sheetViews>
    <sheetView topLeftCell="A17" zoomScale="90" zoomScaleNormal="90" workbookViewId="0">
      <selection activeCell="A15" sqref="A15:A63"/>
    </sheetView>
  </sheetViews>
  <sheetFormatPr defaultColWidth="0.85546875" defaultRowHeight="12.75" x14ac:dyDescent="0.2"/>
  <cols>
    <col min="1" max="1" width="7.5703125" style="90" customWidth="1"/>
    <col min="2" max="2" width="23.42578125" style="100" customWidth="1"/>
    <col min="3" max="3" width="16.28515625" style="90" customWidth="1"/>
    <col min="4" max="4" width="9.140625" style="90" customWidth="1"/>
    <col min="5" max="5" width="14.42578125" style="90" customWidth="1"/>
    <col min="6" max="6" width="9" style="101" customWidth="1"/>
    <col min="7" max="7" width="6.7109375" style="90" bestFit="1" customWidth="1"/>
    <col min="8" max="8" width="7.85546875" style="101" customWidth="1"/>
    <col min="9" max="9" width="11.7109375" style="90" customWidth="1"/>
    <col min="10" max="10" width="8.7109375" style="90" customWidth="1"/>
    <col min="11" max="11" width="9.140625" style="90" customWidth="1"/>
    <col min="12" max="12" width="6.7109375" style="90" customWidth="1"/>
    <col min="13" max="13" width="8" style="67" customWidth="1"/>
    <col min="14" max="14" width="11.7109375" style="90" customWidth="1"/>
    <col min="15" max="15" width="8.7109375" style="90" customWidth="1"/>
    <col min="16" max="17" width="7.28515625" style="90" customWidth="1"/>
    <col min="18" max="18" width="8.7109375" style="90" bestFit="1" customWidth="1"/>
    <col min="19" max="19" width="7.7109375" style="90" bestFit="1" customWidth="1"/>
    <col min="20" max="20" width="8.7109375" style="90" bestFit="1" customWidth="1"/>
    <col min="21" max="21" width="9.140625" style="90" customWidth="1"/>
    <col min="22" max="26" width="7.7109375" style="90" bestFit="1" customWidth="1"/>
    <col min="27" max="31" width="8.7109375" style="90" bestFit="1" customWidth="1"/>
    <col min="32" max="32" width="8.28515625" style="90" customWidth="1"/>
    <col min="33" max="33" width="9" style="90" customWidth="1"/>
    <col min="34" max="34" width="9.28515625" style="90" bestFit="1" customWidth="1"/>
    <col min="35" max="35" width="9" style="90" customWidth="1"/>
    <col min="36" max="36" width="8.7109375" style="90" customWidth="1"/>
    <col min="37" max="37" width="11.5703125" style="90" customWidth="1"/>
    <col min="38" max="38" width="26.28515625" style="90" customWidth="1"/>
    <col min="39" max="39" width="10" style="90" customWidth="1"/>
    <col min="40" max="40" width="10.7109375" style="90" customWidth="1"/>
    <col min="41" max="41" width="10.42578125" style="90" customWidth="1"/>
    <col min="42" max="42" width="15.85546875" style="90" customWidth="1"/>
    <col min="43" max="43" width="10.28515625" style="90" customWidth="1"/>
    <col min="44" max="16384" width="0.85546875" style="3"/>
  </cols>
  <sheetData>
    <row r="1" spans="1:43" x14ac:dyDescent="0.2">
      <c r="AP1" s="104" t="s">
        <v>20</v>
      </c>
    </row>
    <row r="2" spans="1:43" ht="27.75" customHeight="1" x14ac:dyDescent="0.2">
      <c r="F2" s="145" t="s">
        <v>301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1:43" ht="12.75" customHeight="1" x14ac:dyDescent="0.2">
      <c r="F3" s="146" t="s">
        <v>270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12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</row>
    <row r="4" spans="1:43" ht="12.75" customHeight="1" x14ac:dyDescent="0.2">
      <c r="E4" s="107"/>
      <c r="F4" s="147" t="s">
        <v>5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</row>
    <row r="5" spans="1:43" ht="12.75" customHeight="1" x14ac:dyDescent="0.2">
      <c r="F5" s="148" t="s">
        <v>273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1:43" x14ac:dyDescent="0.2">
      <c r="A7" s="187" t="s">
        <v>21</v>
      </c>
      <c r="B7" s="187" t="s">
        <v>22</v>
      </c>
      <c r="C7" s="162" t="s">
        <v>23</v>
      </c>
      <c r="D7" s="187" t="s">
        <v>24</v>
      </c>
      <c r="E7" s="162" t="s">
        <v>25</v>
      </c>
      <c r="F7" s="194" t="s">
        <v>79</v>
      </c>
      <c r="G7" s="194"/>
      <c r="H7" s="194"/>
      <c r="I7" s="194"/>
      <c r="J7" s="194"/>
      <c r="K7" s="194"/>
      <c r="L7" s="194"/>
      <c r="M7" s="194"/>
      <c r="N7" s="194"/>
      <c r="O7" s="194"/>
      <c r="P7" s="187" t="s">
        <v>45</v>
      </c>
      <c r="Q7" s="187" t="s">
        <v>48</v>
      </c>
      <c r="R7" s="193" t="s">
        <v>83</v>
      </c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3" t="s">
        <v>84</v>
      </c>
      <c r="AH7" s="194"/>
      <c r="AI7" s="194"/>
      <c r="AJ7" s="194"/>
      <c r="AK7" s="194"/>
      <c r="AL7" s="194"/>
      <c r="AM7" s="194"/>
      <c r="AN7" s="194"/>
      <c r="AO7" s="194"/>
      <c r="AP7" s="194"/>
      <c r="AQ7" s="195"/>
    </row>
    <row r="8" spans="1:43" x14ac:dyDescent="0.2">
      <c r="A8" s="189"/>
      <c r="B8" s="189"/>
      <c r="C8" s="163"/>
      <c r="D8" s="189"/>
      <c r="E8" s="163"/>
      <c r="F8" s="194" t="s">
        <v>78</v>
      </c>
      <c r="G8" s="194"/>
      <c r="H8" s="194"/>
      <c r="I8" s="194"/>
      <c r="J8" s="194"/>
      <c r="K8" s="194"/>
      <c r="L8" s="194"/>
      <c r="M8" s="194"/>
      <c r="N8" s="194"/>
      <c r="O8" s="194"/>
      <c r="P8" s="189"/>
      <c r="Q8" s="189"/>
      <c r="R8" s="187" t="s">
        <v>81</v>
      </c>
      <c r="S8" s="190"/>
      <c r="T8" s="190"/>
      <c r="U8" s="187" t="s">
        <v>350</v>
      </c>
      <c r="V8" s="187" t="s">
        <v>82</v>
      </c>
      <c r="W8" s="190"/>
      <c r="X8" s="190"/>
      <c r="Y8" s="190"/>
      <c r="Z8" s="190"/>
      <c r="AA8" s="190"/>
      <c r="AB8" s="190"/>
      <c r="AC8" s="190"/>
      <c r="AD8" s="190"/>
      <c r="AE8" s="196"/>
      <c r="AF8" s="187" t="s">
        <v>348</v>
      </c>
      <c r="AG8" s="162" t="s">
        <v>60</v>
      </c>
      <c r="AH8" s="189" t="s">
        <v>272</v>
      </c>
      <c r="AI8" s="189" t="s">
        <v>86</v>
      </c>
      <c r="AJ8" s="189" t="s">
        <v>65</v>
      </c>
      <c r="AK8" s="187" t="s">
        <v>85</v>
      </c>
      <c r="AL8" s="190"/>
      <c r="AM8" s="187" t="s">
        <v>198</v>
      </c>
      <c r="AN8" s="187" t="s">
        <v>349</v>
      </c>
      <c r="AO8" s="187" t="s">
        <v>271</v>
      </c>
      <c r="AP8" s="187" t="s">
        <v>70</v>
      </c>
      <c r="AQ8" s="163" t="s">
        <v>68</v>
      </c>
    </row>
    <row r="9" spans="1:43" x14ac:dyDescent="0.2">
      <c r="A9" s="189"/>
      <c r="B9" s="189"/>
      <c r="C9" s="163"/>
      <c r="D9" s="189"/>
      <c r="E9" s="163"/>
      <c r="F9" s="194" t="s">
        <v>76</v>
      </c>
      <c r="G9" s="194"/>
      <c r="H9" s="194"/>
      <c r="I9" s="194"/>
      <c r="J9" s="194"/>
      <c r="K9" s="193" t="s">
        <v>77</v>
      </c>
      <c r="L9" s="194"/>
      <c r="M9" s="194"/>
      <c r="N9" s="194"/>
      <c r="O9" s="194"/>
      <c r="P9" s="189"/>
      <c r="Q9" s="189"/>
      <c r="R9" s="188"/>
      <c r="S9" s="191"/>
      <c r="T9" s="191"/>
      <c r="U9" s="189"/>
      <c r="V9" s="189"/>
      <c r="W9" s="197"/>
      <c r="X9" s="197"/>
      <c r="Y9" s="197"/>
      <c r="Z9" s="197"/>
      <c r="AA9" s="197"/>
      <c r="AB9" s="197"/>
      <c r="AC9" s="197"/>
      <c r="AD9" s="197"/>
      <c r="AE9" s="198"/>
      <c r="AF9" s="189"/>
      <c r="AG9" s="163"/>
      <c r="AH9" s="189"/>
      <c r="AI9" s="189"/>
      <c r="AJ9" s="189"/>
      <c r="AK9" s="188"/>
      <c r="AL9" s="191"/>
      <c r="AM9" s="189"/>
      <c r="AN9" s="189"/>
      <c r="AO9" s="189"/>
      <c r="AP9" s="189"/>
      <c r="AQ9" s="163"/>
    </row>
    <row r="10" spans="1:43" x14ac:dyDescent="0.2">
      <c r="A10" s="189"/>
      <c r="B10" s="189"/>
      <c r="C10" s="163"/>
      <c r="D10" s="189"/>
      <c r="E10" s="163"/>
      <c r="F10" s="194" t="s">
        <v>75</v>
      </c>
      <c r="G10" s="194"/>
      <c r="H10" s="194"/>
      <c r="I10" s="194"/>
      <c r="J10" s="187" t="s">
        <v>38</v>
      </c>
      <c r="K10" s="193" t="s">
        <v>75</v>
      </c>
      <c r="L10" s="194"/>
      <c r="M10" s="194"/>
      <c r="N10" s="194"/>
      <c r="O10" s="187" t="s">
        <v>38</v>
      </c>
      <c r="P10" s="189"/>
      <c r="Q10" s="189"/>
      <c r="R10" s="187" t="s">
        <v>49</v>
      </c>
      <c r="S10" s="193" t="s">
        <v>80</v>
      </c>
      <c r="T10" s="194"/>
      <c r="U10" s="189"/>
      <c r="V10" s="188"/>
      <c r="W10" s="191"/>
      <c r="X10" s="191"/>
      <c r="Y10" s="191"/>
      <c r="Z10" s="191"/>
      <c r="AA10" s="191"/>
      <c r="AB10" s="191"/>
      <c r="AC10" s="191"/>
      <c r="AD10" s="191"/>
      <c r="AE10" s="199"/>
      <c r="AF10" s="189"/>
      <c r="AG10" s="163"/>
      <c r="AH10" s="189"/>
      <c r="AI10" s="189"/>
      <c r="AJ10" s="189"/>
      <c r="AK10" s="187" t="s">
        <v>87</v>
      </c>
      <c r="AL10" s="187" t="s">
        <v>195</v>
      </c>
      <c r="AM10" s="189"/>
      <c r="AN10" s="189"/>
      <c r="AO10" s="189"/>
      <c r="AP10" s="189"/>
      <c r="AQ10" s="163"/>
    </row>
    <row r="11" spans="1:43" s="67" customFormat="1" ht="235.5" customHeight="1" x14ac:dyDescent="0.2">
      <c r="A11" s="188"/>
      <c r="B11" s="188"/>
      <c r="C11" s="164"/>
      <c r="D11" s="188"/>
      <c r="E11" s="164"/>
      <c r="F11" s="86" t="s">
        <v>31</v>
      </c>
      <c r="G11" s="66" t="s">
        <v>34</v>
      </c>
      <c r="H11" s="66" t="s">
        <v>347</v>
      </c>
      <c r="I11" s="66" t="s">
        <v>36</v>
      </c>
      <c r="J11" s="188"/>
      <c r="K11" s="66" t="s">
        <v>31</v>
      </c>
      <c r="L11" s="66" t="s">
        <v>34</v>
      </c>
      <c r="M11" s="66" t="s">
        <v>347</v>
      </c>
      <c r="N11" s="66" t="s">
        <v>36</v>
      </c>
      <c r="O11" s="188"/>
      <c r="P11" s="188"/>
      <c r="Q11" s="188"/>
      <c r="R11" s="188"/>
      <c r="S11" s="66" t="s">
        <v>54</v>
      </c>
      <c r="T11" s="66" t="s">
        <v>55</v>
      </c>
      <c r="U11" s="188"/>
      <c r="V11" s="66">
        <v>2024</v>
      </c>
      <c r="W11" s="66">
        <v>2025</v>
      </c>
      <c r="X11" s="66">
        <v>2026</v>
      </c>
      <c r="Y11" s="65">
        <v>2027</v>
      </c>
      <c r="Z11" s="66">
        <v>2028</v>
      </c>
      <c r="AA11" s="66">
        <v>2029</v>
      </c>
      <c r="AB11" s="66">
        <v>2030</v>
      </c>
      <c r="AC11" s="66">
        <v>2031</v>
      </c>
      <c r="AD11" s="65">
        <v>2032</v>
      </c>
      <c r="AE11" s="67">
        <v>2033</v>
      </c>
      <c r="AF11" s="188"/>
      <c r="AG11" s="164"/>
      <c r="AH11" s="188"/>
      <c r="AI11" s="188"/>
      <c r="AJ11" s="188"/>
      <c r="AK11" s="188"/>
      <c r="AL11" s="188"/>
      <c r="AM11" s="188"/>
      <c r="AN11" s="188"/>
      <c r="AO11" s="188"/>
      <c r="AP11" s="188"/>
      <c r="AQ11" s="164"/>
    </row>
    <row r="12" spans="1:43" s="87" customFormat="1" x14ac:dyDescent="0.2">
      <c r="A12" s="108" t="s">
        <v>26</v>
      </c>
      <c r="B12" s="109" t="s">
        <v>27</v>
      </c>
      <c r="C12" s="110" t="s">
        <v>28</v>
      </c>
      <c r="D12" s="108" t="s">
        <v>29</v>
      </c>
      <c r="E12" s="110" t="s">
        <v>30</v>
      </c>
      <c r="F12" s="111" t="s">
        <v>32</v>
      </c>
      <c r="G12" s="108" t="s">
        <v>33</v>
      </c>
      <c r="H12" s="108" t="s">
        <v>35</v>
      </c>
      <c r="I12" s="108" t="s">
        <v>37</v>
      </c>
      <c r="J12" s="108" t="s">
        <v>39</v>
      </c>
      <c r="K12" s="108" t="s">
        <v>40</v>
      </c>
      <c r="L12" s="108" t="s">
        <v>41</v>
      </c>
      <c r="M12" s="109" t="s">
        <v>42</v>
      </c>
      <c r="N12" s="108" t="s">
        <v>43</v>
      </c>
      <c r="O12" s="108" t="s">
        <v>44</v>
      </c>
      <c r="P12" s="108" t="s">
        <v>46</v>
      </c>
      <c r="Q12" s="108" t="s">
        <v>47</v>
      </c>
      <c r="R12" s="108" t="s">
        <v>51</v>
      </c>
      <c r="S12" s="108" t="s">
        <v>52</v>
      </c>
      <c r="T12" s="108" t="s">
        <v>53</v>
      </c>
      <c r="U12" s="108" t="s">
        <v>50</v>
      </c>
      <c r="V12" s="108" t="s">
        <v>56</v>
      </c>
      <c r="W12" s="108" t="s">
        <v>57</v>
      </c>
      <c r="X12" s="108" t="s">
        <v>58</v>
      </c>
      <c r="Y12" s="108" t="s">
        <v>59</v>
      </c>
      <c r="Z12" s="110" t="s">
        <v>203</v>
      </c>
      <c r="AA12" s="108" t="s">
        <v>204</v>
      </c>
      <c r="AB12" s="108" t="s">
        <v>205</v>
      </c>
      <c r="AC12" s="108" t="s">
        <v>206</v>
      </c>
      <c r="AD12" s="108" t="s">
        <v>207</v>
      </c>
      <c r="AE12" s="110" t="s">
        <v>208</v>
      </c>
      <c r="AF12" s="108" t="s">
        <v>209</v>
      </c>
      <c r="AG12" s="110" t="s">
        <v>61</v>
      </c>
      <c r="AH12" s="108" t="s">
        <v>62</v>
      </c>
      <c r="AI12" s="108" t="s">
        <v>63</v>
      </c>
      <c r="AJ12" s="108" t="s">
        <v>64</v>
      </c>
      <c r="AK12" s="108" t="s">
        <v>66</v>
      </c>
      <c r="AL12" s="108" t="s">
        <v>67</v>
      </c>
      <c r="AM12" s="108" t="s">
        <v>72</v>
      </c>
      <c r="AN12" s="108" t="s">
        <v>73</v>
      </c>
      <c r="AO12" s="108" t="s">
        <v>74</v>
      </c>
      <c r="AP12" s="108" t="s">
        <v>71</v>
      </c>
      <c r="AQ12" s="110" t="s">
        <v>69</v>
      </c>
    </row>
    <row r="13" spans="1:43" s="90" customFormat="1" x14ac:dyDescent="0.2">
      <c r="A13" s="200" t="s">
        <v>196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45"/>
      <c r="P13" s="88"/>
      <c r="Q13" s="88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</row>
    <row r="14" spans="1:43" s="90" customFormat="1" ht="11.25" customHeight="1" x14ac:dyDescent="0.2">
      <c r="A14" s="200" t="s">
        <v>90</v>
      </c>
      <c r="B14" s="201"/>
      <c r="C14" s="201"/>
      <c r="D14" s="202"/>
      <c r="E14" s="75"/>
      <c r="F14" s="46"/>
      <c r="G14" s="45"/>
      <c r="H14" s="45"/>
      <c r="I14" s="91"/>
      <c r="J14" s="45"/>
      <c r="K14" s="45"/>
      <c r="L14" s="45"/>
      <c r="M14" s="66"/>
      <c r="N14" s="91"/>
      <c r="O14" s="45"/>
      <c r="P14" s="88"/>
      <c r="Q14" s="88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</row>
    <row r="15" spans="1:43" s="90" customFormat="1" ht="100.5" customHeight="1" x14ac:dyDescent="0.2">
      <c r="A15" s="92" t="s">
        <v>367</v>
      </c>
      <c r="B15" s="84" t="s">
        <v>275</v>
      </c>
      <c r="C15" s="93"/>
      <c r="D15" s="93"/>
      <c r="E15" s="75"/>
      <c r="F15" s="70"/>
      <c r="G15" s="70"/>
      <c r="H15" s="70"/>
      <c r="I15" s="75"/>
      <c r="J15" s="70"/>
      <c r="K15" s="70"/>
      <c r="L15" s="70"/>
      <c r="M15" s="65"/>
      <c r="N15" s="75"/>
      <c r="O15" s="70"/>
      <c r="P15" s="92" t="s">
        <v>213</v>
      </c>
      <c r="Q15" s="92" t="s">
        <v>280</v>
      </c>
      <c r="R15" s="115">
        <f t="shared" ref="R15:AE15" si="0">SUM(R16:R58)</f>
        <v>82251.000000000015</v>
      </c>
      <c r="S15" s="115">
        <f t="shared" si="0"/>
        <v>4112.5500000000011</v>
      </c>
      <c r="T15" s="115">
        <f t="shared" si="0"/>
        <v>78138.450000000012</v>
      </c>
      <c r="U15" s="89">
        <f t="shared" si="0"/>
        <v>0</v>
      </c>
      <c r="V15" s="115">
        <f t="shared" si="0"/>
        <v>6851.0000000000009</v>
      </c>
      <c r="W15" s="115">
        <f t="shared" si="0"/>
        <v>7125</v>
      </c>
      <c r="X15" s="115">
        <f t="shared" si="0"/>
        <v>7410</v>
      </c>
      <c r="Y15" s="115">
        <f t="shared" si="0"/>
        <v>7706.4000000000005</v>
      </c>
      <c r="Z15" s="115">
        <f t="shared" si="0"/>
        <v>8014</v>
      </c>
      <c r="AA15" s="115">
        <f t="shared" si="0"/>
        <v>8335</v>
      </c>
      <c r="AB15" s="115">
        <f t="shared" si="0"/>
        <v>8668</v>
      </c>
      <c r="AC15" s="115">
        <f t="shared" si="0"/>
        <v>9015</v>
      </c>
      <c r="AD15" s="115">
        <f t="shared" si="0"/>
        <v>9376.0000000000018</v>
      </c>
      <c r="AE15" s="115">
        <f t="shared" si="0"/>
        <v>9750.6</v>
      </c>
      <c r="AF15" s="89"/>
      <c r="AG15" s="89">
        <f>SUM(AG16:AG58)</f>
        <v>34358.639999999999</v>
      </c>
      <c r="AH15" s="89">
        <f>SUM(AH16:AH58)</f>
        <v>47892.36</v>
      </c>
      <c r="AI15" s="89">
        <f>SUM(AI16:AI58)</f>
        <v>0</v>
      </c>
      <c r="AJ15" s="89">
        <f>SUM(AJ16:AJ58)</f>
        <v>0</v>
      </c>
      <c r="AK15" s="89">
        <f>SUM(AK16:AK58)</f>
        <v>0</v>
      </c>
      <c r="AL15" s="89">
        <f>SUM(AL17:AL58)</f>
        <v>0</v>
      </c>
      <c r="AM15" s="89">
        <f>SUM(AM16:AM58)</f>
        <v>0</v>
      </c>
      <c r="AN15" s="89">
        <f>SUM(AN17:AN58)</f>
        <v>0</v>
      </c>
      <c r="AO15" s="89">
        <f>SUM(AO16:AO58)</f>
        <v>0</v>
      </c>
      <c r="AP15" s="89">
        <f>SUM(AP17:AP58)</f>
        <v>0</v>
      </c>
      <c r="AQ15" s="89">
        <f>SUM(AQ16:AQ58)</f>
        <v>0</v>
      </c>
    </row>
    <row r="16" spans="1:43" s="90" customFormat="1" ht="57" customHeight="1" x14ac:dyDescent="0.2">
      <c r="A16" s="156" t="s">
        <v>368</v>
      </c>
      <c r="B16" s="44" t="s">
        <v>306</v>
      </c>
      <c r="C16" s="172" t="s">
        <v>276</v>
      </c>
      <c r="D16" s="159" t="s">
        <v>292</v>
      </c>
      <c r="E16" s="162" t="s">
        <v>278</v>
      </c>
      <c r="F16" s="165">
        <v>150</v>
      </c>
      <c r="G16" s="165">
        <v>64</v>
      </c>
      <c r="H16" s="165">
        <f>53*2/1000</f>
        <v>0.106</v>
      </c>
      <c r="I16" s="166" t="s">
        <v>297</v>
      </c>
      <c r="J16" s="155">
        <f>0.258982+(0.0235+0.033+0.12)+0.0714+0.0339+0.0716+0.0319+0.2441+0.3313+0.32+0.338097+0.34507+0.13501+(0.05)+0.43702+0.04615+0.255461+0.03025+0.0074</f>
        <v>3.1841399999999997</v>
      </c>
      <c r="K16" s="175">
        <v>150</v>
      </c>
      <c r="L16" s="175">
        <v>64</v>
      </c>
      <c r="M16" s="165">
        <f>53*2/1000</f>
        <v>0.106</v>
      </c>
      <c r="N16" s="177" t="s">
        <v>297</v>
      </c>
      <c r="O16" s="155">
        <f>J16</f>
        <v>3.1841399999999997</v>
      </c>
      <c r="P16" s="183" t="s">
        <v>213</v>
      </c>
      <c r="Q16" s="183" t="s">
        <v>213</v>
      </c>
      <c r="R16" s="182">
        <f>8221.2/1.2</f>
        <v>6851.0000000000009</v>
      </c>
      <c r="S16" s="182">
        <f>(R16*0.05)+(R20*0.05)</f>
        <v>698.80000000000007</v>
      </c>
      <c r="T16" s="182">
        <f>R16-S16</f>
        <v>6152.2000000000007</v>
      </c>
      <c r="U16" s="181">
        <v>0</v>
      </c>
      <c r="V16" s="182">
        <f>S16+T16</f>
        <v>6851.0000000000009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165"/>
      <c r="AG16" s="181">
        <f>'№5-ИП ТС'!F13</f>
        <v>0</v>
      </c>
      <c r="AH16" s="181">
        <f>'№5-ИП ТС'!F14</f>
        <v>6851</v>
      </c>
      <c r="AI16" s="181">
        <v>0</v>
      </c>
      <c r="AJ16" s="181">
        <v>0</v>
      </c>
      <c r="AK16" s="181">
        <v>0</v>
      </c>
      <c r="AL16" s="181">
        <v>0</v>
      </c>
      <c r="AM16" s="181">
        <v>0</v>
      </c>
      <c r="AN16" s="181">
        <v>0</v>
      </c>
      <c r="AO16" s="181">
        <v>0</v>
      </c>
      <c r="AP16" s="181">
        <v>0</v>
      </c>
      <c r="AQ16" s="181">
        <v>0</v>
      </c>
    </row>
    <row r="17" spans="1:43" s="90" customFormat="1" ht="40.5" customHeight="1" x14ac:dyDescent="0.2">
      <c r="A17" s="157"/>
      <c r="B17" s="73" t="s">
        <v>311</v>
      </c>
      <c r="C17" s="173"/>
      <c r="D17" s="160"/>
      <c r="E17" s="163"/>
      <c r="F17" s="165"/>
      <c r="G17" s="165"/>
      <c r="H17" s="165"/>
      <c r="I17" s="166"/>
      <c r="J17" s="155"/>
      <c r="K17" s="176"/>
      <c r="L17" s="176"/>
      <c r="M17" s="165"/>
      <c r="N17" s="178"/>
      <c r="O17" s="155"/>
      <c r="P17" s="183"/>
      <c r="Q17" s="183"/>
      <c r="R17" s="182"/>
      <c r="S17" s="182"/>
      <c r="T17" s="182"/>
      <c r="U17" s="181"/>
      <c r="V17" s="182"/>
      <c r="W17" s="181"/>
      <c r="X17" s="181"/>
      <c r="Y17" s="181"/>
      <c r="Z17" s="181"/>
      <c r="AA17" s="181"/>
      <c r="AB17" s="181"/>
      <c r="AC17" s="181"/>
      <c r="AD17" s="181"/>
      <c r="AE17" s="181"/>
      <c r="AF17" s="165"/>
      <c r="AG17" s="181"/>
      <c r="AH17" s="181"/>
      <c r="AI17" s="181"/>
      <c r="AJ17" s="181"/>
      <c r="AK17" s="181"/>
      <c r="AL17" s="181">
        <v>0</v>
      </c>
      <c r="AM17" s="181"/>
      <c r="AN17" s="181">
        <v>0</v>
      </c>
      <c r="AO17" s="181"/>
      <c r="AP17" s="181">
        <v>0</v>
      </c>
      <c r="AQ17" s="181"/>
    </row>
    <row r="18" spans="1:43" s="90" customFormat="1" ht="35.25" customHeight="1" x14ac:dyDescent="0.2">
      <c r="A18" s="157"/>
      <c r="B18" s="73" t="s">
        <v>305</v>
      </c>
      <c r="C18" s="173"/>
      <c r="D18" s="160"/>
      <c r="E18" s="163"/>
      <c r="F18" s="70">
        <v>65</v>
      </c>
      <c r="G18" s="70">
        <v>8.4</v>
      </c>
      <c r="H18" s="45">
        <f>10*2/1000</f>
        <v>0.02</v>
      </c>
      <c r="I18" s="114" t="s">
        <v>297</v>
      </c>
      <c r="J18" s="155"/>
      <c r="K18" s="70">
        <v>65</v>
      </c>
      <c r="L18" s="70">
        <v>8.4</v>
      </c>
      <c r="M18" s="45">
        <f>10*2/1000</f>
        <v>0.02</v>
      </c>
      <c r="N18" s="113" t="s">
        <v>297</v>
      </c>
      <c r="O18" s="155"/>
      <c r="P18" s="183"/>
      <c r="Q18" s="183"/>
      <c r="R18" s="182"/>
      <c r="S18" s="182"/>
      <c r="T18" s="182"/>
      <c r="U18" s="181"/>
      <c r="V18" s="182"/>
      <c r="W18" s="181"/>
      <c r="X18" s="181"/>
      <c r="Y18" s="181"/>
      <c r="Z18" s="181"/>
      <c r="AA18" s="181"/>
      <c r="AB18" s="181"/>
      <c r="AC18" s="181"/>
      <c r="AD18" s="181"/>
      <c r="AE18" s="181"/>
      <c r="AF18" s="165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</row>
    <row r="19" spans="1:43" s="90" customFormat="1" ht="36" customHeight="1" x14ac:dyDescent="0.2">
      <c r="A19" s="158"/>
      <c r="B19" s="73" t="s">
        <v>312</v>
      </c>
      <c r="C19" s="174"/>
      <c r="D19" s="161"/>
      <c r="E19" s="164"/>
      <c r="F19" s="70">
        <v>150</v>
      </c>
      <c r="G19" s="70">
        <v>64</v>
      </c>
      <c r="H19" s="45">
        <f>30*2/1000</f>
        <v>0.06</v>
      </c>
      <c r="I19" s="114" t="s">
        <v>297</v>
      </c>
      <c r="J19" s="155"/>
      <c r="K19" s="70">
        <v>150</v>
      </c>
      <c r="L19" s="70">
        <v>64</v>
      </c>
      <c r="M19" s="45">
        <f>30*2/1000</f>
        <v>0.06</v>
      </c>
      <c r="N19" s="113" t="s">
        <v>297</v>
      </c>
      <c r="O19" s="155"/>
      <c r="P19" s="183"/>
      <c r="Q19" s="183"/>
      <c r="R19" s="182"/>
      <c r="S19" s="182"/>
      <c r="T19" s="182"/>
      <c r="U19" s="181"/>
      <c r="V19" s="182"/>
      <c r="W19" s="181"/>
      <c r="X19" s="181"/>
      <c r="Y19" s="181"/>
      <c r="Z19" s="181"/>
      <c r="AA19" s="181"/>
      <c r="AB19" s="181"/>
      <c r="AC19" s="181"/>
      <c r="AD19" s="181"/>
      <c r="AE19" s="181"/>
      <c r="AF19" s="165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</row>
    <row r="20" spans="1:43" s="90" customFormat="1" ht="57.75" customHeight="1" x14ac:dyDescent="0.2">
      <c r="A20" s="156" t="s">
        <v>369</v>
      </c>
      <c r="B20" s="44" t="s">
        <v>308</v>
      </c>
      <c r="C20" s="172" t="s">
        <v>276</v>
      </c>
      <c r="D20" s="159" t="s">
        <v>292</v>
      </c>
      <c r="E20" s="162" t="s">
        <v>278</v>
      </c>
      <c r="F20" s="165">
        <v>150</v>
      </c>
      <c r="G20" s="165">
        <v>64</v>
      </c>
      <c r="H20" s="165">
        <f>54*2/1000</f>
        <v>0.108</v>
      </c>
      <c r="I20" s="166" t="s">
        <v>297</v>
      </c>
      <c r="J20" s="155">
        <f>J16-0.258982</f>
        <v>2.9251579999999997</v>
      </c>
      <c r="K20" s="165">
        <v>150</v>
      </c>
      <c r="L20" s="165">
        <v>64</v>
      </c>
      <c r="M20" s="165">
        <f>54*2/1000</f>
        <v>0.108</v>
      </c>
      <c r="N20" s="166" t="s">
        <v>297</v>
      </c>
      <c r="O20" s="155">
        <f>J20</f>
        <v>2.9251579999999997</v>
      </c>
      <c r="P20" s="183" t="s">
        <v>257</v>
      </c>
      <c r="Q20" s="183" t="s">
        <v>257</v>
      </c>
      <c r="R20" s="182">
        <f>8550/1.2</f>
        <v>7125</v>
      </c>
      <c r="S20" s="182">
        <f>R26*0.05</f>
        <v>370.5</v>
      </c>
      <c r="T20" s="182">
        <f>R20-S20</f>
        <v>6754.5</v>
      </c>
      <c r="U20" s="181">
        <v>0</v>
      </c>
      <c r="V20" s="181">
        <v>0</v>
      </c>
      <c r="W20" s="182">
        <f>S20+T20</f>
        <v>7125</v>
      </c>
      <c r="X20" s="181">
        <v>0</v>
      </c>
      <c r="Y20" s="181">
        <v>0</v>
      </c>
      <c r="Z20" s="181">
        <v>0</v>
      </c>
      <c r="AA20" s="181">
        <v>0</v>
      </c>
      <c r="AB20" s="181">
        <v>0</v>
      </c>
      <c r="AC20" s="181">
        <v>0</v>
      </c>
      <c r="AD20" s="181">
        <v>0</v>
      </c>
      <c r="AE20" s="181">
        <v>0</v>
      </c>
      <c r="AF20" s="165"/>
      <c r="AG20" s="181">
        <f>'№5-ИП ТС'!G13</f>
        <v>685</v>
      </c>
      <c r="AH20" s="181">
        <f>'№5-ИП ТС'!G14</f>
        <v>6440</v>
      </c>
      <c r="AI20" s="181">
        <v>0</v>
      </c>
      <c r="AJ20" s="181">
        <v>0</v>
      </c>
      <c r="AK20" s="181">
        <v>0</v>
      </c>
      <c r="AL20" s="181">
        <v>0</v>
      </c>
      <c r="AM20" s="181">
        <v>0</v>
      </c>
      <c r="AN20" s="181">
        <v>0</v>
      </c>
      <c r="AO20" s="181">
        <v>0</v>
      </c>
      <c r="AP20" s="181">
        <v>0</v>
      </c>
      <c r="AQ20" s="181">
        <v>0</v>
      </c>
    </row>
    <row r="21" spans="1:43" s="90" customFormat="1" ht="36.75" customHeight="1" x14ac:dyDescent="0.2">
      <c r="A21" s="157"/>
      <c r="B21" s="73" t="s">
        <v>313</v>
      </c>
      <c r="C21" s="173"/>
      <c r="D21" s="160"/>
      <c r="E21" s="163"/>
      <c r="F21" s="165"/>
      <c r="G21" s="165"/>
      <c r="H21" s="165"/>
      <c r="I21" s="166"/>
      <c r="J21" s="155"/>
      <c r="K21" s="165"/>
      <c r="L21" s="165"/>
      <c r="M21" s="165"/>
      <c r="N21" s="166"/>
      <c r="O21" s="155"/>
      <c r="P21" s="183"/>
      <c r="Q21" s="183"/>
      <c r="R21" s="182"/>
      <c r="S21" s="182"/>
      <c r="T21" s="182"/>
      <c r="U21" s="181"/>
      <c r="V21" s="181"/>
      <c r="W21" s="182"/>
      <c r="X21" s="181"/>
      <c r="Y21" s="181"/>
      <c r="Z21" s="181"/>
      <c r="AA21" s="181"/>
      <c r="AB21" s="181"/>
      <c r="AC21" s="181"/>
      <c r="AD21" s="181"/>
      <c r="AE21" s="181"/>
      <c r="AF21" s="165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</row>
    <row r="22" spans="1:43" s="90" customFormat="1" ht="36" customHeight="1" x14ac:dyDescent="0.2">
      <c r="A22" s="157"/>
      <c r="B22" s="73" t="s">
        <v>307</v>
      </c>
      <c r="C22" s="173"/>
      <c r="D22" s="160"/>
      <c r="E22" s="163"/>
      <c r="F22" s="70">
        <v>80</v>
      </c>
      <c r="G22" s="70">
        <v>13.2</v>
      </c>
      <c r="H22" s="70">
        <f>27*2/1000</f>
        <v>5.3999999999999999E-2</v>
      </c>
      <c r="I22" s="113" t="s">
        <v>297</v>
      </c>
      <c r="J22" s="155"/>
      <c r="K22" s="70">
        <v>80</v>
      </c>
      <c r="L22" s="70">
        <v>13.2</v>
      </c>
      <c r="M22" s="70">
        <f>27*2/1000</f>
        <v>5.3999999999999999E-2</v>
      </c>
      <c r="N22" s="113" t="s">
        <v>297</v>
      </c>
      <c r="O22" s="155"/>
      <c r="P22" s="183"/>
      <c r="Q22" s="183"/>
      <c r="R22" s="182"/>
      <c r="S22" s="182"/>
      <c r="T22" s="182"/>
      <c r="U22" s="181"/>
      <c r="V22" s="181"/>
      <c r="W22" s="182"/>
      <c r="X22" s="181"/>
      <c r="Y22" s="181"/>
      <c r="Z22" s="181"/>
      <c r="AA22" s="181"/>
      <c r="AB22" s="181"/>
      <c r="AC22" s="181"/>
      <c r="AD22" s="181"/>
      <c r="AE22" s="181"/>
      <c r="AF22" s="165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</row>
    <row r="23" spans="1:43" s="90" customFormat="1" ht="50.25" customHeight="1" x14ac:dyDescent="0.2">
      <c r="A23" s="157"/>
      <c r="B23" s="73" t="s">
        <v>314</v>
      </c>
      <c r="C23" s="173"/>
      <c r="D23" s="160"/>
      <c r="E23" s="163"/>
      <c r="F23" s="70">
        <v>50</v>
      </c>
      <c r="G23" s="70">
        <v>3.5</v>
      </c>
      <c r="H23" s="70">
        <f>13*2/1000</f>
        <v>2.5999999999999999E-2</v>
      </c>
      <c r="I23" s="113" t="s">
        <v>297</v>
      </c>
      <c r="J23" s="155"/>
      <c r="K23" s="70">
        <v>50</v>
      </c>
      <c r="L23" s="70">
        <v>3.5</v>
      </c>
      <c r="M23" s="70">
        <f>13*2/1000</f>
        <v>2.5999999999999999E-2</v>
      </c>
      <c r="N23" s="113" t="s">
        <v>297</v>
      </c>
      <c r="O23" s="155"/>
      <c r="P23" s="183"/>
      <c r="Q23" s="183"/>
      <c r="R23" s="182"/>
      <c r="S23" s="182"/>
      <c r="T23" s="182"/>
      <c r="U23" s="181"/>
      <c r="V23" s="181"/>
      <c r="W23" s="182"/>
      <c r="X23" s="181"/>
      <c r="Y23" s="181"/>
      <c r="Z23" s="181"/>
      <c r="AA23" s="181"/>
      <c r="AB23" s="181"/>
      <c r="AC23" s="181"/>
      <c r="AD23" s="181"/>
      <c r="AE23" s="181"/>
      <c r="AF23" s="165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</row>
    <row r="24" spans="1:43" s="90" customFormat="1" ht="36" customHeight="1" x14ac:dyDescent="0.2">
      <c r="A24" s="157"/>
      <c r="B24" s="203" t="s">
        <v>315</v>
      </c>
      <c r="C24" s="173"/>
      <c r="D24" s="160"/>
      <c r="E24" s="163"/>
      <c r="F24" s="70">
        <v>50</v>
      </c>
      <c r="G24" s="70">
        <v>3.5</v>
      </c>
      <c r="H24" s="70">
        <f>16*2/1000</f>
        <v>3.2000000000000001E-2</v>
      </c>
      <c r="I24" s="113" t="s">
        <v>297</v>
      </c>
      <c r="J24" s="155"/>
      <c r="K24" s="70">
        <v>50</v>
      </c>
      <c r="L24" s="70">
        <v>3.5</v>
      </c>
      <c r="M24" s="70">
        <f>16*2/1000</f>
        <v>3.2000000000000001E-2</v>
      </c>
      <c r="N24" s="113" t="s">
        <v>297</v>
      </c>
      <c r="O24" s="155"/>
      <c r="P24" s="183"/>
      <c r="Q24" s="183"/>
      <c r="R24" s="182"/>
      <c r="S24" s="182"/>
      <c r="T24" s="182"/>
      <c r="U24" s="181"/>
      <c r="V24" s="181"/>
      <c r="W24" s="182"/>
      <c r="X24" s="181"/>
      <c r="Y24" s="181"/>
      <c r="Z24" s="181"/>
      <c r="AA24" s="181"/>
      <c r="AB24" s="181"/>
      <c r="AC24" s="181"/>
      <c r="AD24" s="181"/>
      <c r="AE24" s="181"/>
      <c r="AF24" s="165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</row>
    <row r="25" spans="1:43" s="90" customFormat="1" ht="35.25" customHeight="1" x14ac:dyDescent="0.2">
      <c r="A25" s="158"/>
      <c r="B25" s="204"/>
      <c r="C25" s="174"/>
      <c r="D25" s="161"/>
      <c r="E25" s="164"/>
      <c r="F25" s="70">
        <v>25</v>
      </c>
      <c r="G25" s="70">
        <v>0.68</v>
      </c>
      <c r="H25" s="70">
        <f>6.5*2/1000</f>
        <v>1.2999999999999999E-2</v>
      </c>
      <c r="I25" s="113" t="s">
        <v>297</v>
      </c>
      <c r="J25" s="155"/>
      <c r="K25" s="70">
        <v>25</v>
      </c>
      <c r="L25" s="70">
        <v>0.68</v>
      </c>
      <c r="M25" s="70">
        <f>6.5*2/1000</f>
        <v>1.2999999999999999E-2</v>
      </c>
      <c r="N25" s="113" t="s">
        <v>297</v>
      </c>
      <c r="O25" s="155"/>
      <c r="P25" s="183"/>
      <c r="Q25" s="183"/>
      <c r="R25" s="182"/>
      <c r="S25" s="182"/>
      <c r="T25" s="182"/>
      <c r="U25" s="181"/>
      <c r="V25" s="181"/>
      <c r="W25" s="182"/>
      <c r="X25" s="181"/>
      <c r="Y25" s="181"/>
      <c r="Z25" s="181"/>
      <c r="AA25" s="181"/>
      <c r="AB25" s="181"/>
      <c r="AC25" s="181"/>
      <c r="AD25" s="181"/>
      <c r="AE25" s="181"/>
      <c r="AF25" s="165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</row>
    <row r="26" spans="1:43" s="90" customFormat="1" ht="45" customHeight="1" x14ac:dyDescent="0.2">
      <c r="A26" s="156" t="s">
        <v>370</v>
      </c>
      <c r="B26" s="44" t="s">
        <v>310</v>
      </c>
      <c r="C26" s="172" t="s">
        <v>276</v>
      </c>
      <c r="D26" s="159" t="s">
        <v>292</v>
      </c>
      <c r="E26" s="162" t="s">
        <v>278</v>
      </c>
      <c r="F26" s="165">
        <v>150</v>
      </c>
      <c r="G26" s="165">
        <v>64</v>
      </c>
      <c r="H26" s="165">
        <f>29.2*2/1000</f>
        <v>5.8400000000000001E-2</v>
      </c>
      <c r="I26" s="166" t="s">
        <v>297</v>
      </c>
      <c r="J26" s="155">
        <f>J16-0.258982-0.04615-0.255461-0.03025-0.0074</f>
        <v>2.5858969999999997</v>
      </c>
      <c r="K26" s="165">
        <v>150</v>
      </c>
      <c r="L26" s="165">
        <v>64</v>
      </c>
      <c r="M26" s="165">
        <f>29.2*2/1000</f>
        <v>5.8400000000000001E-2</v>
      </c>
      <c r="N26" s="166" t="s">
        <v>297</v>
      </c>
      <c r="O26" s="155">
        <f>J26</f>
        <v>2.5858969999999997</v>
      </c>
      <c r="P26" s="183" t="s">
        <v>211</v>
      </c>
      <c r="Q26" s="183" t="s">
        <v>211</v>
      </c>
      <c r="R26" s="182">
        <f>8892/1.2</f>
        <v>7410</v>
      </c>
      <c r="S26" s="182">
        <f>R29*0.05</f>
        <v>385.32000000000005</v>
      </c>
      <c r="T26" s="182">
        <f>R26-S26</f>
        <v>7024.68</v>
      </c>
      <c r="U26" s="181">
        <v>0</v>
      </c>
      <c r="V26" s="181">
        <v>0</v>
      </c>
      <c r="W26" s="181">
        <v>0</v>
      </c>
      <c r="X26" s="182">
        <f>S26+T26</f>
        <v>7410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181"/>
      <c r="AG26" s="181">
        <f>'№5-ИП ТС'!H13</f>
        <v>1398</v>
      </c>
      <c r="AH26" s="181">
        <f>'№5-ИП ТС'!H14</f>
        <v>6012</v>
      </c>
      <c r="AI26" s="181">
        <v>0</v>
      </c>
      <c r="AJ26" s="181">
        <v>0</v>
      </c>
      <c r="AK26" s="181">
        <v>0</v>
      </c>
      <c r="AL26" s="181">
        <v>0</v>
      </c>
      <c r="AM26" s="181">
        <v>0</v>
      </c>
      <c r="AN26" s="181">
        <v>0</v>
      </c>
      <c r="AO26" s="181">
        <v>0</v>
      </c>
      <c r="AP26" s="181">
        <v>0</v>
      </c>
      <c r="AQ26" s="181">
        <v>0</v>
      </c>
    </row>
    <row r="27" spans="1:43" s="90" customFormat="1" ht="51.75" customHeight="1" x14ac:dyDescent="0.2">
      <c r="A27" s="157"/>
      <c r="B27" s="73" t="s">
        <v>365</v>
      </c>
      <c r="C27" s="173"/>
      <c r="D27" s="160"/>
      <c r="E27" s="163"/>
      <c r="F27" s="165"/>
      <c r="G27" s="165"/>
      <c r="H27" s="165"/>
      <c r="I27" s="166"/>
      <c r="J27" s="155"/>
      <c r="K27" s="165"/>
      <c r="L27" s="165"/>
      <c r="M27" s="165"/>
      <c r="N27" s="166"/>
      <c r="O27" s="155"/>
      <c r="P27" s="183"/>
      <c r="Q27" s="183"/>
      <c r="R27" s="182"/>
      <c r="S27" s="182"/>
      <c r="T27" s="182"/>
      <c r="U27" s="181"/>
      <c r="V27" s="181"/>
      <c r="W27" s="181"/>
      <c r="X27" s="182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</row>
    <row r="28" spans="1:43" s="90" customFormat="1" ht="35.25" customHeight="1" x14ac:dyDescent="0.2">
      <c r="A28" s="158"/>
      <c r="B28" s="73" t="s">
        <v>309</v>
      </c>
      <c r="C28" s="174"/>
      <c r="D28" s="161"/>
      <c r="E28" s="164"/>
      <c r="F28" s="70">
        <v>150</v>
      </c>
      <c r="G28" s="70">
        <v>64</v>
      </c>
      <c r="H28" s="70">
        <f>61.2*2/1000</f>
        <v>0.12240000000000001</v>
      </c>
      <c r="I28" s="113" t="s">
        <v>297</v>
      </c>
      <c r="J28" s="155"/>
      <c r="K28" s="70">
        <v>150</v>
      </c>
      <c r="L28" s="70">
        <v>64</v>
      </c>
      <c r="M28" s="70">
        <f>61.2*2/1000</f>
        <v>0.12240000000000001</v>
      </c>
      <c r="N28" s="113" t="s">
        <v>297</v>
      </c>
      <c r="O28" s="155"/>
      <c r="P28" s="183"/>
      <c r="Q28" s="183"/>
      <c r="R28" s="182"/>
      <c r="S28" s="182"/>
      <c r="T28" s="182"/>
      <c r="U28" s="181"/>
      <c r="V28" s="181"/>
      <c r="W28" s="181"/>
      <c r="X28" s="182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</row>
    <row r="29" spans="1:43" s="90" customFormat="1" ht="57.75" customHeight="1" x14ac:dyDescent="0.2">
      <c r="A29" s="156" t="s">
        <v>371</v>
      </c>
      <c r="B29" s="85" t="s">
        <v>316</v>
      </c>
      <c r="C29" s="156" t="s">
        <v>276</v>
      </c>
      <c r="D29" s="159" t="s">
        <v>292</v>
      </c>
      <c r="E29" s="162" t="s">
        <v>278</v>
      </c>
      <c r="F29" s="162">
        <v>150</v>
      </c>
      <c r="G29" s="162">
        <v>64</v>
      </c>
      <c r="H29" s="162">
        <f>94.8*2/1000</f>
        <v>0.18959999999999999</v>
      </c>
      <c r="I29" s="179" t="s">
        <v>297</v>
      </c>
      <c r="J29" s="168">
        <f>J26</f>
        <v>2.5858969999999997</v>
      </c>
      <c r="K29" s="162">
        <v>150</v>
      </c>
      <c r="L29" s="162">
        <v>64</v>
      </c>
      <c r="M29" s="162">
        <f>94.8*2/1000</f>
        <v>0.18959999999999999</v>
      </c>
      <c r="N29" s="179" t="s">
        <v>297</v>
      </c>
      <c r="O29" s="168">
        <f>J29</f>
        <v>2.5858969999999997</v>
      </c>
      <c r="P29" s="156" t="s">
        <v>214</v>
      </c>
      <c r="Q29" s="156" t="s">
        <v>214</v>
      </c>
      <c r="R29" s="152">
        <f>9247.68/1.2</f>
        <v>7706.4000000000005</v>
      </c>
      <c r="S29" s="152">
        <f>R31*0.05</f>
        <v>400.70000000000005</v>
      </c>
      <c r="T29" s="152">
        <f>R29-S29</f>
        <v>7305.7000000000007</v>
      </c>
      <c r="U29" s="149">
        <v>0</v>
      </c>
      <c r="V29" s="149">
        <v>0</v>
      </c>
      <c r="W29" s="149">
        <v>0</v>
      </c>
      <c r="X29" s="149">
        <v>0</v>
      </c>
      <c r="Y29" s="152">
        <f>S29+T29</f>
        <v>7706.4000000000005</v>
      </c>
      <c r="Z29" s="149">
        <v>0</v>
      </c>
      <c r="AA29" s="149">
        <v>0</v>
      </c>
      <c r="AB29" s="149">
        <v>0</v>
      </c>
      <c r="AC29" s="149">
        <v>0</v>
      </c>
      <c r="AD29" s="149">
        <v>0</v>
      </c>
      <c r="AE29" s="149">
        <v>0</v>
      </c>
      <c r="AF29" s="149"/>
      <c r="AG29" s="149">
        <f>'№5-ИП ТС'!I13</f>
        <v>2138.6</v>
      </c>
      <c r="AH29" s="149">
        <f>'№5-ИП ТС'!I14</f>
        <v>5567.8</v>
      </c>
      <c r="AI29" s="149">
        <v>0</v>
      </c>
      <c r="AJ29" s="149">
        <v>0</v>
      </c>
      <c r="AK29" s="149">
        <v>0</v>
      </c>
      <c r="AL29" s="149">
        <v>0</v>
      </c>
      <c r="AM29" s="149">
        <v>0</v>
      </c>
      <c r="AN29" s="149">
        <v>0</v>
      </c>
      <c r="AO29" s="149">
        <v>0</v>
      </c>
      <c r="AP29" s="149">
        <v>0</v>
      </c>
      <c r="AQ29" s="149">
        <v>0</v>
      </c>
    </row>
    <row r="30" spans="1:43" s="90" customFormat="1" ht="50.25" customHeight="1" x14ac:dyDescent="0.2">
      <c r="A30" s="158"/>
      <c r="B30" s="94" t="s">
        <v>317</v>
      </c>
      <c r="C30" s="158"/>
      <c r="D30" s="161"/>
      <c r="E30" s="164"/>
      <c r="F30" s="164"/>
      <c r="G30" s="164"/>
      <c r="H30" s="164"/>
      <c r="I30" s="180"/>
      <c r="J30" s="170"/>
      <c r="K30" s="164"/>
      <c r="L30" s="164"/>
      <c r="M30" s="164"/>
      <c r="N30" s="180"/>
      <c r="O30" s="170"/>
      <c r="P30" s="158"/>
      <c r="Q30" s="158"/>
      <c r="R30" s="154"/>
      <c r="S30" s="154"/>
      <c r="T30" s="154"/>
      <c r="U30" s="151"/>
      <c r="V30" s="151"/>
      <c r="W30" s="151"/>
      <c r="X30" s="151"/>
      <c r="Y30" s="154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</row>
    <row r="31" spans="1:43" s="90" customFormat="1" ht="45" customHeight="1" x14ac:dyDescent="0.2">
      <c r="A31" s="156" t="s">
        <v>372</v>
      </c>
      <c r="B31" s="44" t="s">
        <v>322</v>
      </c>
      <c r="C31" s="156" t="s">
        <v>276</v>
      </c>
      <c r="D31" s="159" t="s">
        <v>292</v>
      </c>
      <c r="E31" s="162" t="s">
        <v>278</v>
      </c>
      <c r="F31" s="175">
        <v>150</v>
      </c>
      <c r="G31" s="175">
        <v>64</v>
      </c>
      <c r="H31" s="175">
        <f>30.5*2/1000</f>
        <v>6.0999999999999999E-2</v>
      </c>
      <c r="I31" s="177" t="s">
        <v>297</v>
      </c>
      <c r="J31" s="168">
        <f>J29-0-0.43702-0.13501-0.34507</f>
        <v>1.6687969999999999</v>
      </c>
      <c r="K31" s="175">
        <v>150</v>
      </c>
      <c r="L31" s="175">
        <v>64</v>
      </c>
      <c r="M31" s="175">
        <f>30.5*2/1000</f>
        <v>6.0999999999999999E-2</v>
      </c>
      <c r="N31" s="177" t="s">
        <v>297</v>
      </c>
      <c r="O31" s="168">
        <f>J31</f>
        <v>1.6687969999999999</v>
      </c>
      <c r="P31" s="156" t="s">
        <v>212</v>
      </c>
      <c r="Q31" s="156" t="s">
        <v>212</v>
      </c>
      <c r="R31" s="152">
        <f>9616.8/1.2</f>
        <v>8014</v>
      </c>
      <c r="S31" s="152">
        <f>R36*0.05</f>
        <v>416.75</v>
      </c>
      <c r="T31" s="152">
        <f>R31-S31</f>
        <v>7597.25</v>
      </c>
      <c r="U31" s="149">
        <v>0</v>
      </c>
      <c r="V31" s="149">
        <v>0</v>
      </c>
      <c r="W31" s="149">
        <v>0</v>
      </c>
      <c r="X31" s="149">
        <v>0</v>
      </c>
      <c r="Y31" s="149">
        <v>0</v>
      </c>
      <c r="Z31" s="152">
        <f>S31+T31</f>
        <v>8014</v>
      </c>
      <c r="AA31" s="149">
        <v>0</v>
      </c>
      <c r="AB31" s="149">
        <v>0</v>
      </c>
      <c r="AC31" s="149">
        <v>0</v>
      </c>
      <c r="AD31" s="149">
        <v>0</v>
      </c>
      <c r="AE31" s="149">
        <v>0</v>
      </c>
      <c r="AF31" s="149"/>
      <c r="AG31" s="149">
        <f>'№5-ИП ТС'!J13</f>
        <v>2909</v>
      </c>
      <c r="AH31" s="149">
        <f>'№5-ИП ТС'!J14</f>
        <v>5105</v>
      </c>
      <c r="AI31" s="149">
        <v>0</v>
      </c>
      <c r="AJ31" s="149">
        <v>0</v>
      </c>
      <c r="AK31" s="149">
        <v>0</v>
      </c>
      <c r="AL31" s="149">
        <v>0</v>
      </c>
      <c r="AM31" s="149">
        <v>0</v>
      </c>
      <c r="AN31" s="149">
        <v>0</v>
      </c>
      <c r="AO31" s="149">
        <v>0</v>
      </c>
      <c r="AP31" s="149">
        <v>0</v>
      </c>
      <c r="AQ31" s="149">
        <v>0</v>
      </c>
    </row>
    <row r="32" spans="1:43" s="90" customFormat="1" ht="37.5" customHeight="1" x14ac:dyDescent="0.2">
      <c r="A32" s="157"/>
      <c r="B32" s="95" t="s">
        <v>318</v>
      </c>
      <c r="C32" s="157"/>
      <c r="D32" s="160"/>
      <c r="E32" s="163"/>
      <c r="F32" s="176"/>
      <c r="G32" s="176"/>
      <c r="H32" s="176"/>
      <c r="I32" s="178"/>
      <c r="J32" s="169"/>
      <c r="K32" s="176"/>
      <c r="L32" s="176"/>
      <c r="M32" s="176"/>
      <c r="N32" s="178"/>
      <c r="O32" s="169"/>
      <c r="P32" s="157"/>
      <c r="Q32" s="157"/>
      <c r="R32" s="153"/>
      <c r="S32" s="153"/>
      <c r="T32" s="153"/>
      <c r="U32" s="150"/>
      <c r="V32" s="150"/>
      <c r="W32" s="150"/>
      <c r="X32" s="150"/>
      <c r="Y32" s="150"/>
      <c r="Z32" s="153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</row>
    <row r="33" spans="1:43" s="90" customFormat="1" ht="35.25" customHeight="1" x14ac:dyDescent="0.2">
      <c r="A33" s="157"/>
      <c r="B33" s="95" t="s">
        <v>319</v>
      </c>
      <c r="C33" s="157"/>
      <c r="D33" s="160"/>
      <c r="E33" s="163"/>
      <c r="F33" s="70">
        <v>80</v>
      </c>
      <c r="G33" s="70">
        <v>13.2</v>
      </c>
      <c r="H33" s="70">
        <f>9*2/1000</f>
        <v>1.7999999999999999E-2</v>
      </c>
      <c r="I33" s="114" t="s">
        <v>297</v>
      </c>
      <c r="J33" s="169"/>
      <c r="K33" s="70">
        <v>80</v>
      </c>
      <c r="L33" s="70">
        <v>13.2</v>
      </c>
      <c r="M33" s="70">
        <f>9*2/1000</f>
        <v>1.7999999999999999E-2</v>
      </c>
      <c r="N33" s="114" t="s">
        <v>297</v>
      </c>
      <c r="O33" s="169"/>
      <c r="P33" s="157"/>
      <c r="Q33" s="157"/>
      <c r="R33" s="153"/>
      <c r="S33" s="153"/>
      <c r="T33" s="153"/>
      <c r="U33" s="150"/>
      <c r="V33" s="150"/>
      <c r="W33" s="150"/>
      <c r="X33" s="150"/>
      <c r="Y33" s="150"/>
      <c r="Z33" s="153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</row>
    <row r="34" spans="1:43" s="90" customFormat="1" ht="39" customHeight="1" x14ac:dyDescent="0.2">
      <c r="A34" s="157"/>
      <c r="B34" s="95" t="s">
        <v>320</v>
      </c>
      <c r="C34" s="157"/>
      <c r="D34" s="160"/>
      <c r="E34" s="163"/>
      <c r="F34" s="70">
        <v>150</v>
      </c>
      <c r="G34" s="70">
        <v>64</v>
      </c>
      <c r="H34" s="70">
        <f>46*2/1000</f>
        <v>9.1999999999999998E-2</v>
      </c>
      <c r="I34" s="114" t="s">
        <v>297</v>
      </c>
      <c r="J34" s="169"/>
      <c r="K34" s="70">
        <v>150</v>
      </c>
      <c r="L34" s="70">
        <v>64</v>
      </c>
      <c r="M34" s="70">
        <f>46*2/1000</f>
        <v>9.1999999999999998E-2</v>
      </c>
      <c r="N34" s="114" t="s">
        <v>297</v>
      </c>
      <c r="O34" s="169"/>
      <c r="P34" s="157"/>
      <c r="Q34" s="157"/>
      <c r="R34" s="153"/>
      <c r="S34" s="153"/>
      <c r="T34" s="153"/>
      <c r="U34" s="150"/>
      <c r="V34" s="150"/>
      <c r="W34" s="150"/>
      <c r="X34" s="150"/>
      <c r="Y34" s="150"/>
      <c r="Z34" s="153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</row>
    <row r="35" spans="1:43" s="90" customFormat="1" ht="34.5" customHeight="1" x14ac:dyDescent="0.2">
      <c r="A35" s="158"/>
      <c r="B35" s="95" t="s">
        <v>321</v>
      </c>
      <c r="C35" s="158"/>
      <c r="D35" s="161"/>
      <c r="E35" s="164"/>
      <c r="F35" s="70">
        <v>150</v>
      </c>
      <c r="G35" s="70">
        <v>64</v>
      </c>
      <c r="H35" s="70">
        <f>12.1*2/1000</f>
        <v>2.4199999999999999E-2</v>
      </c>
      <c r="I35" s="114" t="s">
        <v>297</v>
      </c>
      <c r="J35" s="170"/>
      <c r="K35" s="70">
        <v>150</v>
      </c>
      <c r="L35" s="70">
        <v>64</v>
      </c>
      <c r="M35" s="70">
        <f>12.1*2/1000</f>
        <v>2.4199999999999999E-2</v>
      </c>
      <c r="N35" s="114" t="s">
        <v>297</v>
      </c>
      <c r="O35" s="170"/>
      <c r="P35" s="158"/>
      <c r="Q35" s="158"/>
      <c r="R35" s="154"/>
      <c r="S35" s="154"/>
      <c r="T35" s="154"/>
      <c r="U35" s="151"/>
      <c r="V35" s="151"/>
      <c r="W35" s="151"/>
      <c r="X35" s="151"/>
      <c r="Y35" s="151"/>
      <c r="Z35" s="154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</row>
    <row r="36" spans="1:43" s="90" customFormat="1" ht="57.75" customHeight="1" x14ac:dyDescent="0.2">
      <c r="A36" s="156" t="s">
        <v>373</v>
      </c>
      <c r="B36" s="44" t="s">
        <v>325</v>
      </c>
      <c r="C36" s="156" t="s">
        <v>276</v>
      </c>
      <c r="D36" s="159" t="s">
        <v>292</v>
      </c>
      <c r="E36" s="162" t="s">
        <v>278</v>
      </c>
      <c r="F36" s="165">
        <v>150</v>
      </c>
      <c r="G36" s="165">
        <v>64</v>
      </c>
      <c r="H36" s="165">
        <f>12.9*2/1000</f>
        <v>2.58E-2</v>
      </c>
      <c r="I36" s="166" t="s">
        <v>297</v>
      </c>
      <c r="J36" s="155">
        <f>J31-0.338097</f>
        <v>1.3306999999999998</v>
      </c>
      <c r="K36" s="165">
        <v>150</v>
      </c>
      <c r="L36" s="165">
        <v>64</v>
      </c>
      <c r="M36" s="165">
        <f>12.9*2/1000</f>
        <v>2.58E-2</v>
      </c>
      <c r="N36" s="166" t="s">
        <v>297</v>
      </c>
      <c r="O36" s="155">
        <f>J36</f>
        <v>1.3306999999999998</v>
      </c>
      <c r="P36" s="156" t="s">
        <v>258</v>
      </c>
      <c r="Q36" s="156" t="s">
        <v>258</v>
      </c>
      <c r="R36" s="152">
        <f>10002/1.2</f>
        <v>8335</v>
      </c>
      <c r="S36" s="152">
        <f>R39*0.05</f>
        <v>433.40000000000003</v>
      </c>
      <c r="T36" s="152">
        <f>R36-S36</f>
        <v>7901.6</v>
      </c>
      <c r="U36" s="149">
        <v>0</v>
      </c>
      <c r="V36" s="149">
        <v>0</v>
      </c>
      <c r="W36" s="149">
        <v>0</v>
      </c>
      <c r="X36" s="149">
        <v>0</v>
      </c>
      <c r="Y36" s="149">
        <v>0</v>
      </c>
      <c r="Z36" s="149">
        <v>0</v>
      </c>
      <c r="AA36" s="152">
        <f>S36+T36</f>
        <v>8335</v>
      </c>
      <c r="AB36" s="149">
        <v>0</v>
      </c>
      <c r="AC36" s="149">
        <v>0</v>
      </c>
      <c r="AD36" s="149">
        <v>0</v>
      </c>
      <c r="AE36" s="149">
        <v>0</v>
      </c>
      <c r="AF36" s="149"/>
      <c r="AG36" s="149">
        <f>'№5-ИП ТС'!K13</f>
        <v>3711</v>
      </c>
      <c r="AH36" s="149">
        <f>'№5-ИП ТС'!K14</f>
        <v>4624</v>
      </c>
      <c r="AI36" s="149">
        <v>0</v>
      </c>
      <c r="AJ36" s="149">
        <v>0</v>
      </c>
      <c r="AK36" s="149">
        <v>0</v>
      </c>
      <c r="AL36" s="149">
        <v>0</v>
      </c>
      <c r="AM36" s="149">
        <v>0</v>
      </c>
      <c r="AN36" s="149">
        <v>0</v>
      </c>
      <c r="AO36" s="149">
        <v>0</v>
      </c>
      <c r="AP36" s="149">
        <v>0</v>
      </c>
      <c r="AQ36" s="149">
        <v>0</v>
      </c>
    </row>
    <row r="37" spans="1:43" s="90" customFormat="1" ht="33" customHeight="1" x14ac:dyDescent="0.2">
      <c r="A37" s="157"/>
      <c r="B37" s="94" t="s">
        <v>323</v>
      </c>
      <c r="C37" s="157"/>
      <c r="D37" s="160"/>
      <c r="E37" s="163"/>
      <c r="F37" s="165"/>
      <c r="G37" s="165"/>
      <c r="H37" s="165"/>
      <c r="I37" s="166"/>
      <c r="J37" s="155"/>
      <c r="K37" s="165"/>
      <c r="L37" s="165"/>
      <c r="M37" s="165"/>
      <c r="N37" s="166"/>
      <c r="O37" s="155"/>
      <c r="P37" s="157"/>
      <c r="Q37" s="157"/>
      <c r="R37" s="153"/>
      <c r="S37" s="153"/>
      <c r="T37" s="153"/>
      <c r="U37" s="150"/>
      <c r="V37" s="150"/>
      <c r="W37" s="150"/>
      <c r="X37" s="150"/>
      <c r="Y37" s="150"/>
      <c r="Z37" s="150"/>
      <c r="AA37" s="153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</row>
    <row r="38" spans="1:43" s="90" customFormat="1" ht="33.75" customHeight="1" x14ac:dyDescent="0.2">
      <c r="A38" s="158"/>
      <c r="B38" s="94" t="s">
        <v>324</v>
      </c>
      <c r="C38" s="158"/>
      <c r="D38" s="161"/>
      <c r="E38" s="164"/>
      <c r="F38" s="70">
        <v>150</v>
      </c>
      <c r="G38" s="70">
        <v>64</v>
      </c>
      <c r="H38" s="70">
        <f>82*2/1000</f>
        <v>0.16400000000000001</v>
      </c>
      <c r="I38" s="113" t="s">
        <v>297</v>
      </c>
      <c r="J38" s="155"/>
      <c r="K38" s="70">
        <v>150</v>
      </c>
      <c r="L38" s="70">
        <v>64</v>
      </c>
      <c r="M38" s="70">
        <f>82*2/1000</f>
        <v>0.16400000000000001</v>
      </c>
      <c r="N38" s="113" t="s">
        <v>297</v>
      </c>
      <c r="O38" s="155"/>
      <c r="P38" s="158"/>
      <c r="Q38" s="158"/>
      <c r="R38" s="154"/>
      <c r="S38" s="154"/>
      <c r="T38" s="154"/>
      <c r="U38" s="151"/>
      <c r="V38" s="151"/>
      <c r="W38" s="151"/>
      <c r="X38" s="151"/>
      <c r="Y38" s="151"/>
      <c r="Z38" s="151"/>
      <c r="AA38" s="154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</row>
    <row r="39" spans="1:43" s="90" customFormat="1" ht="57.75" customHeight="1" x14ac:dyDescent="0.2">
      <c r="A39" s="156" t="s">
        <v>374</v>
      </c>
      <c r="B39" s="44" t="s">
        <v>332</v>
      </c>
      <c r="C39" s="172" t="s">
        <v>276</v>
      </c>
      <c r="D39" s="159" t="s">
        <v>292</v>
      </c>
      <c r="E39" s="162" t="s">
        <v>278</v>
      </c>
      <c r="F39" s="165">
        <v>150</v>
      </c>
      <c r="G39" s="165">
        <v>64</v>
      </c>
      <c r="H39" s="165">
        <f>6*2/1000</f>
        <v>1.2E-2</v>
      </c>
      <c r="I39" s="166" t="s">
        <v>297</v>
      </c>
      <c r="J39" s="167">
        <f>J36</f>
        <v>1.3306999999999998</v>
      </c>
      <c r="K39" s="165">
        <v>150</v>
      </c>
      <c r="L39" s="165">
        <v>64</v>
      </c>
      <c r="M39" s="165">
        <f>6*2/1000</f>
        <v>1.2E-2</v>
      </c>
      <c r="N39" s="166" t="s">
        <v>297</v>
      </c>
      <c r="O39" s="167">
        <f>J39</f>
        <v>1.3306999999999998</v>
      </c>
      <c r="P39" s="156" t="s">
        <v>210</v>
      </c>
      <c r="Q39" s="156" t="s">
        <v>210</v>
      </c>
      <c r="R39" s="152">
        <f>10401.6/1.2</f>
        <v>8668</v>
      </c>
      <c r="S39" s="152">
        <f>R51*0.05</f>
        <v>450.75</v>
      </c>
      <c r="T39" s="152">
        <f>R39-S39</f>
        <v>8217.25</v>
      </c>
      <c r="U39" s="149">
        <v>0</v>
      </c>
      <c r="V39" s="149">
        <v>0</v>
      </c>
      <c r="W39" s="149">
        <v>0</v>
      </c>
      <c r="X39" s="149">
        <v>0</v>
      </c>
      <c r="Y39" s="149">
        <v>0</v>
      </c>
      <c r="Z39" s="149">
        <v>0</v>
      </c>
      <c r="AA39" s="149">
        <v>0</v>
      </c>
      <c r="AB39" s="152">
        <f>S39+T39</f>
        <v>8668</v>
      </c>
      <c r="AC39" s="149">
        <v>0</v>
      </c>
      <c r="AD39" s="149">
        <v>0</v>
      </c>
      <c r="AE39" s="149">
        <v>0</v>
      </c>
      <c r="AF39" s="149"/>
      <c r="AG39" s="149">
        <f>'№5-ИП ТС'!L13</f>
        <v>4544</v>
      </c>
      <c r="AH39" s="149">
        <f>'№5-ИП ТС'!L14</f>
        <v>4124</v>
      </c>
      <c r="AI39" s="149">
        <v>0</v>
      </c>
      <c r="AJ39" s="149">
        <v>0</v>
      </c>
      <c r="AK39" s="149">
        <v>0</v>
      </c>
      <c r="AL39" s="149">
        <v>0</v>
      </c>
      <c r="AM39" s="149">
        <v>0</v>
      </c>
      <c r="AN39" s="149">
        <v>0</v>
      </c>
      <c r="AO39" s="149">
        <v>0</v>
      </c>
      <c r="AP39" s="149">
        <v>0</v>
      </c>
      <c r="AQ39" s="149">
        <v>0</v>
      </c>
    </row>
    <row r="40" spans="1:43" s="90" customFormat="1" ht="35.25" customHeight="1" x14ac:dyDescent="0.2">
      <c r="A40" s="157"/>
      <c r="B40" s="75" t="s">
        <v>326</v>
      </c>
      <c r="C40" s="173"/>
      <c r="D40" s="160"/>
      <c r="E40" s="163"/>
      <c r="F40" s="165"/>
      <c r="G40" s="165"/>
      <c r="H40" s="165"/>
      <c r="I40" s="166"/>
      <c r="J40" s="167"/>
      <c r="K40" s="165"/>
      <c r="L40" s="165"/>
      <c r="M40" s="165"/>
      <c r="N40" s="166"/>
      <c r="O40" s="167"/>
      <c r="P40" s="157"/>
      <c r="Q40" s="157"/>
      <c r="R40" s="153"/>
      <c r="S40" s="153"/>
      <c r="T40" s="153"/>
      <c r="U40" s="150"/>
      <c r="V40" s="150"/>
      <c r="W40" s="150"/>
      <c r="X40" s="150"/>
      <c r="Y40" s="150"/>
      <c r="Z40" s="150"/>
      <c r="AA40" s="150"/>
      <c r="AB40" s="153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</row>
    <row r="41" spans="1:43" s="90" customFormat="1" ht="35.25" customHeight="1" x14ac:dyDescent="0.2">
      <c r="A41" s="157"/>
      <c r="B41" s="75" t="s">
        <v>327</v>
      </c>
      <c r="C41" s="173"/>
      <c r="D41" s="160"/>
      <c r="E41" s="163"/>
      <c r="F41" s="70">
        <v>50</v>
      </c>
      <c r="G41" s="70">
        <v>3.5</v>
      </c>
      <c r="H41" s="70">
        <f>8*2/1000</f>
        <v>1.6E-2</v>
      </c>
      <c r="I41" s="114" t="s">
        <v>297</v>
      </c>
      <c r="J41" s="76">
        <v>0.32</v>
      </c>
      <c r="K41" s="70">
        <f>F41</f>
        <v>50</v>
      </c>
      <c r="L41" s="70">
        <f>G41</f>
        <v>3.5</v>
      </c>
      <c r="M41" s="70">
        <f>8*2/1000</f>
        <v>1.6E-2</v>
      </c>
      <c r="N41" s="114" t="s">
        <v>297</v>
      </c>
      <c r="O41" s="76">
        <f>J41</f>
        <v>0.32</v>
      </c>
      <c r="P41" s="157"/>
      <c r="Q41" s="157"/>
      <c r="R41" s="153"/>
      <c r="S41" s="153"/>
      <c r="T41" s="153"/>
      <c r="U41" s="150"/>
      <c r="V41" s="150"/>
      <c r="W41" s="150"/>
      <c r="X41" s="150"/>
      <c r="Y41" s="150"/>
      <c r="Z41" s="150"/>
      <c r="AA41" s="150"/>
      <c r="AB41" s="153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</row>
    <row r="42" spans="1:43" s="90" customFormat="1" ht="35.25" customHeight="1" x14ac:dyDescent="0.2">
      <c r="A42" s="157"/>
      <c r="B42" s="171" t="s">
        <v>328</v>
      </c>
      <c r="C42" s="173"/>
      <c r="D42" s="160"/>
      <c r="E42" s="163"/>
      <c r="F42" s="70">
        <v>100</v>
      </c>
      <c r="G42" s="70">
        <v>22</v>
      </c>
      <c r="H42" s="70">
        <f>9*2/1000</f>
        <v>1.7999999999999999E-2</v>
      </c>
      <c r="I42" s="114" t="s">
        <v>297</v>
      </c>
      <c r="J42" s="168">
        <f>0.43702+0.05+0.34507+0.13501</f>
        <v>0.96709999999999996</v>
      </c>
      <c r="K42" s="70">
        <v>100</v>
      </c>
      <c r="L42" s="70">
        <v>22</v>
      </c>
      <c r="M42" s="70">
        <f>9*2/1000</f>
        <v>1.7999999999999999E-2</v>
      </c>
      <c r="N42" s="114" t="s">
        <v>297</v>
      </c>
      <c r="O42" s="168">
        <f>J42</f>
        <v>0.96709999999999996</v>
      </c>
      <c r="P42" s="157"/>
      <c r="Q42" s="157"/>
      <c r="R42" s="153"/>
      <c r="S42" s="153"/>
      <c r="T42" s="153"/>
      <c r="U42" s="150"/>
      <c r="V42" s="150"/>
      <c r="W42" s="150"/>
      <c r="X42" s="150"/>
      <c r="Y42" s="150"/>
      <c r="Z42" s="150"/>
      <c r="AA42" s="150"/>
      <c r="AB42" s="153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</row>
    <row r="43" spans="1:43" s="90" customFormat="1" ht="35.25" customHeight="1" x14ac:dyDescent="0.2">
      <c r="A43" s="157"/>
      <c r="B43" s="171"/>
      <c r="C43" s="173"/>
      <c r="D43" s="160"/>
      <c r="E43" s="163"/>
      <c r="F43" s="70">
        <v>100</v>
      </c>
      <c r="G43" s="70">
        <v>22</v>
      </c>
      <c r="H43" s="70">
        <f>6*2/1000</f>
        <v>1.2E-2</v>
      </c>
      <c r="I43" s="114" t="s">
        <v>297</v>
      </c>
      <c r="J43" s="169"/>
      <c r="K43" s="70">
        <v>100</v>
      </c>
      <c r="L43" s="70">
        <v>22</v>
      </c>
      <c r="M43" s="70">
        <f>6*2/1000</f>
        <v>1.2E-2</v>
      </c>
      <c r="N43" s="114" t="s">
        <v>297</v>
      </c>
      <c r="O43" s="169"/>
      <c r="P43" s="157"/>
      <c r="Q43" s="157"/>
      <c r="R43" s="153"/>
      <c r="S43" s="153"/>
      <c r="T43" s="153"/>
      <c r="U43" s="150"/>
      <c r="V43" s="150"/>
      <c r="W43" s="150"/>
      <c r="X43" s="150"/>
      <c r="Y43" s="150"/>
      <c r="Z43" s="150"/>
      <c r="AA43" s="150"/>
      <c r="AB43" s="153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</row>
    <row r="44" spans="1:43" s="90" customFormat="1" ht="35.25" customHeight="1" x14ac:dyDescent="0.2">
      <c r="A44" s="157"/>
      <c r="B44" s="171"/>
      <c r="C44" s="173"/>
      <c r="D44" s="160"/>
      <c r="E44" s="163"/>
      <c r="F44" s="70">
        <v>50</v>
      </c>
      <c r="G44" s="70">
        <v>3.5</v>
      </c>
      <c r="H44" s="70">
        <f>3*2/1000</f>
        <v>6.0000000000000001E-3</v>
      </c>
      <c r="I44" s="114" t="s">
        <v>297</v>
      </c>
      <c r="J44" s="169"/>
      <c r="K44" s="70">
        <v>50</v>
      </c>
      <c r="L44" s="70">
        <v>3.5</v>
      </c>
      <c r="M44" s="70">
        <f>3*2/1000</f>
        <v>6.0000000000000001E-3</v>
      </c>
      <c r="N44" s="114" t="s">
        <v>297</v>
      </c>
      <c r="O44" s="169"/>
      <c r="P44" s="157"/>
      <c r="Q44" s="157"/>
      <c r="R44" s="153"/>
      <c r="S44" s="153"/>
      <c r="T44" s="153"/>
      <c r="U44" s="150"/>
      <c r="V44" s="150"/>
      <c r="W44" s="150"/>
      <c r="X44" s="150"/>
      <c r="Y44" s="150"/>
      <c r="Z44" s="150"/>
      <c r="AA44" s="150"/>
      <c r="AB44" s="153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</row>
    <row r="45" spans="1:43" s="90" customFormat="1" ht="35.25" customHeight="1" x14ac:dyDescent="0.2">
      <c r="A45" s="157"/>
      <c r="B45" s="171"/>
      <c r="C45" s="173"/>
      <c r="D45" s="160"/>
      <c r="E45" s="163"/>
      <c r="F45" s="70">
        <v>100</v>
      </c>
      <c r="G45" s="70">
        <v>22</v>
      </c>
      <c r="H45" s="70">
        <f>19*2/1000</f>
        <v>3.7999999999999999E-2</v>
      </c>
      <c r="I45" s="114" t="s">
        <v>297</v>
      </c>
      <c r="J45" s="169"/>
      <c r="K45" s="70">
        <v>100</v>
      </c>
      <c r="L45" s="70">
        <v>22</v>
      </c>
      <c r="M45" s="70">
        <f>19*2/1000</f>
        <v>3.7999999999999999E-2</v>
      </c>
      <c r="N45" s="114" t="s">
        <v>297</v>
      </c>
      <c r="O45" s="169"/>
      <c r="P45" s="157"/>
      <c r="Q45" s="157"/>
      <c r="R45" s="153"/>
      <c r="S45" s="153"/>
      <c r="T45" s="153"/>
      <c r="U45" s="150"/>
      <c r="V45" s="150"/>
      <c r="W45" s="150"/>
      <c r="X45" s="150"/>
      <c r="Y45" s="150"/>
      <c r="Z45" s="150"/>
      <c r="AA45" s="150"/>
      <c r="AB45" s="153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</row>
    <row r="46" spans="1:43" s="90" customFormat="1" ht="35.25" customHeight="1" x14ac:dyDescent="0.2">
      <c r="A46" s="157"/>
      <c r="B46" s="171"/>
      <c r="C46" s="173"/>
      <c r="D46" s="160"/>
      <c r="E46" s="163"/>
      <c r="F46" s="70">
        <v>100</v>
      </c>
      <c r="G46" s="70">
        <v>22</v>
      </c>
      <c r="H46" s="70">
        <f>11*2/1000</f>
        <v>2.1999999999999999E-2</v>
      </c>
      <c r="I46" s="114" t="s">
        <v>297</v>
      </c>
      <c r="J46" s="169"/>
      <c r="K46" s="70">
        <v>100</v>
      </c>
      <c r="L46" s="70">
        <v>22</v>
      </c>
      <c r="M46" s="70">
        <f>11*2/1000</f>
        <v>2.1999999999999999E-2</v>
      </c>
      <c r="N46" s="114" t="s">
        <v>297</v>
      </c>
      <c r="O46" s="169"/>
      <c r="P46" s="157"/>
      <c r="Q46" s="157"/>
      <c r="R46" s="153"/>
      <c r="S46" s="153"/>
      <c r="T46" s="153"/>
      <c r="U46" s="150"/>
      <c r="V46" s="150"/>
      <c r="W46" s="150"/>
      <c r="X46" s="150"/>
      <c r="Y46" s="150"/>
      <c r="Z46" s="150"/>
      <c r="AA46" s="150"/>
      <c r="AB46" s="153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</row>
    <row r="47" spans="1:43" s="90" customFormat="1" ht="35.25" customHeight="1" x14ac:dyDescent="0.2">
      <c r="A47" s="157"/>
      <c r="B47" s="75" t="s">
        <v>329</v>
      </c>
      <c r="C47" s="173"/>
      <c r="D47" s="160"/>
      <c r="E47" s="163"/>
      <c r="F47" s="70">
        <v>80</v>
      </c>
      <c r="G47" s="70">
        <v>13.2</v>
      </c>
      <c r="H47" s="70">
        <f>22*2/1000</f>
        <v>4.3999999999999997E-2</v>
      </c>
      <c r="I47" s="114" t="s">
        <v>297</v>
      </c>
      <c r="J47" s="169"/>
      <c r="K47" s="70">
        <v>80</v>
      </c>
      <c r="L47" s="70">
        <v>13.2</v>
      </c>
      <c r="M47" s="70">
        <f>22*2/1000</f>
        <v>4.3999999999999997E-2</v>
      </c>
      <c r="N47" s="114" t="s">
        <v>297</v>
      </c>
      <c r="O47" s="169"/>
      <c r="P47" s="157"/>
      <c r="Q47" s="157"/>
      <c r="R47" s="153"/>
      <c r="S47" s="153"/>
      <c r="T47" s="153"/>
      <c r="U47" s="150"/>
      <c r="V47" s="150"/>
      <c r="W47" s="150"/>
      <c r="X47" s="150"/>
      <c r="Y47" s="150"/>
      <c r="Z47" s="150"/>
      <c r="AA47" s="150"/>
      <c r="AB47" s="153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</row>
    <row r="48" spans="1:43" s="90" customFormat="1" ht="35.25" customHeight="1" x14ac:dyDescent="0.2">
      <c r="A48" s="157"/>
      <c r="B48" s="171" t="s">
        <v>330</v>
      </c>
      <c r="C48" s="173"/>
      <c r="D48" s="160"/>
      <c r="E48" s="163"/>
      <c r="F48" s="70">
        <v>80</v>
      </c>
      <c r="G48" s="70">
        <v>13.2</v>
      </c>
      <c r="H48" s="70">
        <f>29*2/1000</f>
        <v>5.8000000000000003E-2</v>
      </c>
      <c r="I48" s="114" t="s">
        <v>297</v>
      </c>
      <c r="J48" s="169"/>
      <c r="K48" s="70">
        <v>80</v>
      </c>
      <c r="L48" s="70">
        <v>13.2</v>
      </c>
      <c r="M48" s="70">
        <f>29*2/1000</f>
        <v>5.8000000000000003E-2</v>
      </c>
      <c r="N48" s="114" t="s">
        <v>297</v>
      </c>
      <c r="O48" s="169"/>
      <c r="P48" s="157"/>
      <c r="Q48" s="157"/>
      <c r="R48" s="153"/>
      <c r="S48" s="153"/>
      <c r="T48" s="153"/>
      <c r="U48" s="150"/>
      <c r="V48" s="150"/>
      <c r="W48" s="150"/>
      <c r="X48" s="150"/>
      <c r="Y48" s="150"/>
      <c r="Z48" s="150"/>
      <c r="AA48" s="150"/>
      <c r="AB48" s="153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</row>
    <row r="49" spans="1:43" s="90" customFormat="1" ht="35.25" customHeight="1" x14ac:dyDescent="0.2">
      <c r="A49" s="157"/>
      <c r="B49" s="171"/>
      <c r="C49" s="173"/>
      <c r="D49" s="160"/>
      <c r="E49" s="163"/>
      <c r="F49" s="70">
        <v>80</v>
      </c>
      <c r="G49" s="70">
        <v>13.2</v>
      </c>
      <c r="H49" s="70">
        <f>7*2/1000</f>
        <v>1.4E-2</v>
      </c>
      <c r="I49" s="114" t="s">
        <v>297</v>
      </c>
      <c r="J49" s="169"/>
      <c r="K49" s="70">
        <v>80</v>
      </c>
      <c r="L49" s="70">
        <v>13.2</v>
      </c>
      <c r="M49" s="70">
        <f>7*2/1000</f>
        <v>1.4E-2</v>
      </c>
      <c r="N49" s="114" t="s">
        <v>297</v>
      </c>
      <c r="O49" s="169"/>
      <c r="P49" s="157"/>
      <c r="Q49" s="157"/>
      <c r="R49" s="153"/>
      <c r="S49" s="153"/>
      <c r="T49" s="153"/>
      <c r="U49" s="150"/>
      <c r="V49" s="150"/>
      <c r="W49" s="150"/>
      <c r="X49" s="150"/>
      <c r="Y49" s="150"/>
      <c r="Z49" s="150"/>
      <c r="AA49" s="150"/>
      <c r="AB49" s="153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</row>
    <row r="50" spans="1:43" s="90" customFormat="1" ht="35.25" customHeight="1" x14ac:dyDescent="0.2">
      <c r="A50" s="158"/>
      <c r="B50" s="73" t="s">
        <v>331</v>
      </c>
      <c r="C50" s="174"/>
      <c r="D50" s="161"/>
      <c r="E50" s="164"/>
      <c r="F50" s="70">
        <v>80</v>
      </c>
      <c r="G50" s="70">
        <v>13.2</v>
      </c>
      <c r="H50" s="70">
        <f>16.5*2/1000</f>
        <v>3.3000000000000002E-2</v>
      </c>
      <c r="I50" s="114" t="s">
        <v>297</v>
      </c>
      <c r="J50" s="170"/>
      <c r="K50" s="70">
        <v>80</v>
      </c>
      <c r="L50" s="70">
        <v>13.2</v>
      </c>
      <c r="M50" s="70">
        <f>16.5*2/1000</f>
        <v>3.3000000000000002E-2</v>
      </c>
      <c r="N50" s="114" t="s">
        <v>297</v>
      </c>
      <c r="O50" s="170"/>
      <c r="P50" s="158"/>
      <c r="Q50" s="158"/>
      <c r="R50" s="154"/>
      <c r="S50" s="154"/>
      <c r="T50" s="154"/>
      <c r="U50" s="151"/>
      <c r="V50" s="151"/>
      <c r="W50" s="151"/>
      <c r="X50" s="151"/>
      <c r="Y50" s="151"/>
      <c r="Z50" s="151"/>
      <c r="AA50" s="151"/>
      <c r="AB50" s="154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</row>
    <row r="51" spans="1:43" s="90" customFormat="1" ht="45" customHeight="1" x14ac:dyDescent="0.2">
      <c r="A51" s="156" t="s">
        <v>375</v>
      </c>
      <c r="B51" s="44" t="s">
        <v>335</v>
      </c>
      <c r="C51" s="156" t="s">
        <v>277</v>
      </c>
      <c r="D51" s="159" t="s">
        <v>292</v>
      </c>
      <c r="E51" s="162" t="s">
        <v>279</v>
      </c>
      <c r="F51" s="165">
        <v>300</v>
      </c>
      <c r="G51" s="165">
        <v>430</v>
      </c>
      <c r="H51" s="165">
        <f>29*2/100</f>
        <v>0.57999999999999996</v>
      </c>
      <c r="I51" s="166" t="s">
        <v>297</v>
      </c>
      <c r="J51" s="155">
        <f>0.09802+0.0228+0.03247+0.07537+0.02706+0.03724+0.02954+0.00503+0.0023+0.09138+0.01643+0.0747+0.1061+0.01812+0.04378+0.11426+0.22108+0.00227+0.05202+0.011+0.0479+0.39374+0.39113+0.04674+0.7062+0.06661+0.38592</f>
        <v>3.1192099999999998</v>
      </c>
      <c r="K51" s="165">
        <v>200</v>
      </c>
      <c r="L51" s="165">
        <v>152</v>
      </c>
      <c r="M51" s="165">
        <f>29*2/100</f>
        <v>0.57999999999999996</v>
      </c>
      <c r="N51" s="166" t="s">
        <v>297</v>
      </c>
      <c r="O51" s="168">
        <f>J51</f>
        <v>3.1192099999999998</v>
      </c>
      <c r="P51" s="156" t="s">
        <v>281</v>
      </c>
      <c r="Q51" s="156" t="s">
        <v>281</v>
      </c>
      <c r="R51" s="152">
        <f>10818/1.2</f>
        <v>9015</v>
      </c>
      <c r="S51" s="152">
        <f>R54*0.05</f>
        <v>468.80000000000013</v>
      </c>
      <c r="T51" s="152">
        <f>R51-S51</f>
        <v>8546.2000000000007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0</v>
      </c>
      <c r="AC51" s="152">
        <f>S51+T51</f>
        <v>9015</v>
      </c>
      <c r="AD51" s="149">
        <v>0</v>
      </c>
      <c r="AE51" s="149">
        <v>0</v>
      </c>
      <c r="AF51" s="149"/>
      <c r="AG51" s="149">
        <f>'№5-ИП ТС'!M13</f>
        <v>5411</v>
      </c>
      <c r="AH51" s="149">
        <f>'№5-ИП ТС'!M14</f>
        <v>3604</v>
      </c>
      <c r="AI51" s="149">
        <v>0</v>
      </c>
      <c r="AJ51" s="149">
        <v>0</v>
      </c>
      <c r="AK51" s="149">
        <v>0</v>
      </c>
      <c r="AL51" s="149">
        <v>0</v>
      </c>
      <c r="AM51" s="149">
        <v>0</v>
      </c>
      <c r="AN51" s="149">
        <v>0</v>
      </c>
      <c r="AO51" s="149">
        <v>0</v>
      </c>
      <c r="AP51" s="149">
        <v>0</v>
      </c>
      <c r="AQ51" s="149">
        <v>0</v>
      </c>
    </row>
    <row r="52" spans="1:43" s="90" customFormat="1" ht="33.75" customHeight="1" x14ac:dyDescent="0.2">
      <c r="A52" s="157"/>
      <c r="B52" s="75" t="s">
        <v>333</v>
      </c>
      <c r="C52" s="157"/>
      <c r="D52" s="160"/>
      <c r="E52" s="163"/>
      <c r="F52" s="165"/>
      <c r="G52" s="165"/>
      <c r="H52" s="165"/>
      <c r="I52" s="166"/>
      <c r="J52" s="155"/>
      <c r="K52" s="165"/>
      <c r="L52" s="165"/>
      <c r="M52" s="165"/>
      <c r="N52" s="166"/>
      <c r="O52" s="169"/>
      <c r="P52" s="157"/>
      <c r="Q52" s="157"/>
      <c r="R52" s="153"/>
      <c r="S52" s="153"/>
      <c r="T52" s="153"/>
      <c r="U52" s="150"/>
      <c r="V52" s="150"/>
      <c r="W52" s="150"/>
      <c r="X52" s="150"/>
      <c r="Y52" s="150"/>
      <c r="Z52" s="150"/>
      <c r="AA52" s="150"/>
      <c r="AB52" s="150"/>
      <c r="AC52" s="153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</row>
    <row r="53" spans="1:43" s="90" customFormat="1" ht="35.25" customHeight="1" x14ac:dyDescent="0.2">
      <c r="A53" s="158"/>
      <c r="B53" s="75" t="s">
        <v>334</v>
      </c>
      <c r="C53" s="158"/>
      <c r="D53" s="161"/>
      <c r="E53" s="164"/>
      <c r="F53" s="70">
        <v>300</v>
      </c>
      <c r="G53" s="70">
        <v>430</v>
      </c>
      <c r="H53" s="70">
        <f>119.7*2/1000</f>
        <v>0.2394</v>
      </c>
      <c r="I53" s="113" t="s">
        <v>298</v>
      </c>
      <c r="J53" s="155"/>
      <c r="K53" s="70">
        <v>200</v>
      </c>
      <c r="L53" s="70">
        <v>152</v>
      </c>
      <c r="M53" s="70">
        <f>119.7*2/1000</f>
        <v>0.2394</v>
      </c>
      <c r="N53" s="113" t="s">
        <v>298</v>
      </c>
      <c r="O53" s="170"/>
      <c r="P53" s="158"/>
      <c r="Q53" s="158"/>
      <c r="R53" s="154"/>
      <c r="S53" s="154"/>
      <c r="T53" s="154"/>
      <c r="U53" s="151"/>
      <c r="V53" s="151"/>
      <c r="W53" s="151"/>
      <c r="X53" s="151"/>
      <c r="Y53" s="151"/>
      <c r="Z53" s="151"/>
      <c r="AA53" s="151"/>
      <c r="AB53" s="151"/>
      <c r="AC53" s="154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</row>
    <row r="54" spans="1:43" s="90" customFormat="1" ht="43.5" customHeight="1" x14ac:dyDescent="0.2">
      <c r="A54" s="156" t="s">
        <v>376</v>
      </c>
      <c r="B54" s="44" t="s">
        <v>339</v>
      </c>
      <c r="C54" s="156" t="s">
        <v>277</v>
      </c>
      <c r="D54" s="159" t="s">
        <v>292</v>
      </c>
      <c r="E54" s="162" t="s">
        <v>279</v>
      </c>
      <c r="F54" s="165">
        <v>300</v>
      </c>
      <c r="G54" s="165">
        <v>430</v>
      </c>
      <c r="H54" s="165">
        <f>57.3*2/1000</f>
        <v>0.11459999999999999</v>
      </c>
      <c r="I54" s="166" t="s">
        <v>298</v>
      </c>
      <c r="J54" s="167">
        <f>J51-0.06661</f>
        <v>3.0526</v>
      </c>
      <c r="K54" s="165">
        <v>200</v>
      </c>
      <c r="L54" s="165">
        <v>152</v>
      </c>
      <c r="M54" s="165">
        <f>57.3*2/1000</f>
        <v>0.11459999999999999</v>
      </c>
      <c r="N54" s="166" t="s">
        <v>298</v>
      </c>
      <c r="O54" s="167">
        <f>J54</f>
        <v>3.0526</v>
      </c>
      <c r="P54" s="156" t="s">
        <v>282</v>
      </c>
      <c r="Q54" s="156" t="s">
        <v>282</v>
      </c>
      <c r="R54" s="152">
        <f>11251.2/1.2</f>
        <v>9376.0000000000018</v>
      </c>
      <c r="S54" s="152">
        <f>R58*0.05</f>
        <v>487.53000000000003</v>
      </c>
      <c r="T54" s="152">
        <f>R54-S54</f>
        <v>8888.4700000000012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49">
        <v>0</v>
      </c>
      <c r="AC54" s="149">
        <v>0</v>
      </c>
      <c r="AD54" s="152">
        <f>S54+T54</f>
        <v>9376.0000000000018</v>
      </c>
      <c r="AE54" s="149">
        <v>0</v>
      </c>
      <c r="AF54" s="149"/>
      <c r="AG54" s="149">
        <f>'№5-ИП ТС'!N13</f>
        <v>6312</v>
      </c>
      <c r="AH54" s="149">
        <f>'№5-ИП ТС'!N14</f>
        <v>3064</v>
      </c>
      <c r="AI54" s="149">
        <v>0</v>
      </c>
      <c r="AJ54" s="149">
        <v>0</v>
      </c>
      <c r="AK54" s="149">
        <v>0</v>
      </c>
      <c r="AL54" s="149">
        <v>0</v>
      </c>
      <c r="AM54" s="149">
        <v>0</v>
      </c>
      <c r="AN54" s="149">
        <v>0</v>
      </c>
      <c r="AO54" s="149">
        <v>0</v>
      </c>
      <c r="AP54" s="149">
        <v>0</v>
      </c>
      <c r="AQ54" s="149">
        <v>0</v>
      </c>
    </row>
    <row r="55" spans="1:43" s="90" customFormat="1" ht="33.75" customHeight="1" x14ac:dyDescent="0.2">
      <c r="A55" s="157"/>
      <c r="B55" s="75" t="s">
        <v>336</v>
      </c>
      <c r="C55" s="157"/>
      <c r="D55" s="160"/>
      <c r="E55" s="163"/>
      <c r="F55" s="165"/>
      <c r="G55" s="165"/>
      <c r="H55" s="165"/>
      <c r="I55" s="166"/>
      <c r="J55" s="167"/>
      <c r="K55" s="165"/>
      <c r="L55" s="165"/>
      <c r="M55" s="165"/>
      <c r="N55" s="166"/>
      <c r="O55" s="167"/>
      <c r="P55" s="157"/>
      <c r="Q55" s="157"/>
      <c r="R55" s="153"/>
      <c r="S55" s="153"/>
      <c r="T55" s="153"/>
      <c r="U55" s="150"/>
      <c r="V55" s="150"/>
      <c r="W55" s="150"/>
      <c r="X55" s="150"/>
      <c r="Y55" s="150"/>
      <c r="Z55" s="150"/>
      <c r="AA55" s="150"/>
      <c r="AB55" s="150"/>
      <c r="AC55" s="150"/>
      <c r="AD55" s="153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</row>
    <row r="56" spans="1:43" s="90" customFormat="1" ht="35.25" customHeight="1" x14ac:dyDescent="0.2">
      <c r="A56" s="157"/>
      <c r="B56" s="75" t="s">
        <v>337</v>
      </c>
      <c r="C56" s="157"/>
      <c r="D56" s="160"/>
      <c r="E56" s="163"/>
      <c r="F56" s="70">
        <v>80</v>
      </c>
      <c r="G56" s="70">
        <v>13.2</v>
      </c>
      <c r="H56" s="70">
        <f>67*2/1000</f>
        <v>0.13400000000000001</v>
      </c>
      <c r="I56" s="113" t="s">
        <v>297</v>
      </c>
      <c r="J56" s="76">
        <f>0.38592</f>
        <v>0.38591999999999999</v>
      </c>
      <c r="K56" s="70">
        <v>80</v>
      </c>
      <c r="L56" s="70">
        <v>13.2</v>
      </c>
      <c r="M56" s="70">
        <f>67*2/1000</f>
        <v>0.13400000000000001</v>
      </c>
      <c r="N56" s="113" t="s">
        <v>297</v>
      </c>
      <c r="O56" s="76">
        <f t="shared" ref="O56:O57" si="1">J56</f>
        <v>0.38591999999999999</v>
      </c>
      <c r="P56" s="157"/>
      <c r="Q56" s="157"/>
      <c r="R56" s="153"/>
      <c r="S56" s="153"/>
      <c r="T56" s="153"/>
      <c r="U56" s="150"/>
      <c r="V56" s="150"/>
      <c r="W56" s="150"/>
      <c r="X56" s="150"/>
      <c r="Y56" s="150"/>
      <c r="Z56" s="150"/>
      <c r="AA56" s="150"/>
      <c r="AB56" s="150"/>
      <c r="AC56" s="150"/>
      <c r="AD56" s="153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</row>
    <row r="57" spans="1:43" s="90" customFormat="1" ht="35.25" customHeight="1" x14ac:dyDescent="0.2">
      <c r="A57" s="158"/>
      <c r="B57" s="75" t="s">
        <v>338</v>
      </c>
      <c r="C57" s="158"/>
      <c r="D57" s="161"/>
      <c r="E57" s="164"/>
      <c r="F57" s="70">
        <v>300</v>
      </c>
      <c r="G57" s="70">
        <v>430</v>
      </c>
      <c r="H57" s="70">
        <f>17.3*2/1000</f>
        <v>3.4599999999999999E-2</v>
      </c>
      <c r="I57" s="113" t="s">
        <v>297</v>
      </c>
      <c r="J57" s="76">
        <f>J54-J56-0.7062</f>
        <v>1.96048</v>
      </c>
      <c r="K57" s="70">
        <v>200</v>
      </c>
      <c r="L57" s="70">
        <v>152</v>
      </c>
      <c r="M57" s="70">
        <f>17.3*2/1000</f>
        <v>3.4599999999999999E-2</v>
      </c>
      <c r="N57" s="113" t="s">
        <v>297</v>
      </c>
      <c r="O57" s="76">
        <f t="shared" si="1"/>
        <v>1.96048</v>
      </c>
      <c r="P57" s="158"/>
      <c r="Q57" s="158"/>
      <c r="R57" s="154"/>
      <c r="S57" s="154"/>
      <c r="T57" s="154"/>
      <c r="U57" s="151"/>
      <c r="V57" s="151"/>
      <c r="W57" s="151"/>
      <c r="X57" s="151"/>
      <c r="Y57" s="151"/>
      <c r="Z57" s="151"/>
      <c r="AA57" s="151"/>
      <c r="AB57" s="151"/>
      <c r="AC57" s="151"/>
      <c r="AD57" s="154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</row>
    <row r="58" spans="1:43" s="90" customFormat="1" ht="45" customHeight="1" x14ac:dyDescent="0.2">
      <c r="A58" s="156" t="s">
        <v>377</v>
      </c>
      <c r="B58" s="44" t="s">
        <v>345</v>
      </c>
      <c r="C58" s="156" t="s">
        <v>277</v>
      </c>
      <c r="D58" s="159" t="s">
        <v>292</v>
      </c>
      <c r="E58" s="162" t="s">
        <v>279</v>
      </c>
      <c r="F58" s="165">
        <v>300</v>
      </c>
      <c r="G58" s="165">
        <v>430</v>
      </c>
      <c r="H58" s="165">
        <f>23*2/1000</f>
        <v>4.5999999999999999E-2</v>
      </c>
      <c r="I58" s="166" t="s">
        <v>297</v>
      </c>
      <c r="J58" s="167">
        <f>J57</f>
        <v>1.96048</v>
      </c>
      <c r="K58" s="165">
        <v>200</v>
      </c>
      <c r="L58" s="165">
        <v>152</v>
      </c>
      <c r="M58" s="165">
        <f>23*2/1000</f>
        <v>4.5999999999999999E-2</v>
      </c>
      <c r="N58" s="166" t="s">
        <v>297</v>
      </c>
      <c r="O58" s="167">
        <f>J58</f>
        <v>1.96048</v>
      </c>
      <c r="P58" s="156" t="s">
        <v>280</v>
      </c>
      <c r="Q58" s="156" t="s">
        <v>280</v>
      </c>
      <c r="R58" s="152">
        <f>11700.72/1.2</f>
        <v>9750.6</v>
      </c>
      <c r="S58" s="152">
        <v>0</v>
      </c>
      <c r="T58" s="152">
        <f>R58-S58</f>
        <v>9750.6</v>
      </c>
      <c r="U58" s="149">
        <v>0</v>
      </c>
      <c r="V58" s="149">
        <v>0</v>
      </c>
      <c r="W58" s="149">
        <v>0</v>
      </c>
      <c r="X58" s="149">
        <v>0</v>
      </c>
      <c r="Y58" s="149">
        <v>0</v>
      </c>
      <c r="Z58" s="149">
        <v>0</v>
      </c>
      <c r="AA58" s="149">
        <v>0</v>
      </c>
      <c r="AB58" s="149">
        <v>0</v>
      </c>
      <c r="AC58" s="149">
        <v>0</v>
      </c>
      <c r="AD58" s="149">
        <f>S58</f>
        <v>0</v>
      </c>
      <c r="AE58" s="152">
        <f>S58+T58</f>
        <v>9750.6</v>
      </c>
      <c r="AF58" s="149"/>
      <c r="AG58" s="149">
        <f>'№5-ИП ТС'!O13</f>
        <v>7250.04</v>
      </c>
      <c r="AH58" s="149">
        <f>'№5-ИП ТС'!O14</f>
        <v>2500.56</v>
      </c>
      <c r="AI58" s="149">
        <v>0</v>
      </c>
      <c r="AJ58" s="149">
        <v>0</v>
      </c>
      <c r="AK58" s="149">
        <v>0</v>
      </c>
      <c r="AL58" s="149">
        <v>0</v>
      </c>
      <c r="AM58" s="149">
        <v>0</v>
      </c>
      <c r="AN58" s="149">
        <v>0</v>
      </c>
      <c r="AO58" s="149">
        <v>0</v>
      </c>
      <c r="AP58" s="149">
        <v>0</v>
      </c>
      <c r="AQ58" s="149">
        <v>0</v>
      </c>
    </row>
    <row r="59" spans="1:43" s="90" customFormat="1" ht="35.25" customHeight="1" x14ac:dyDescent="0.2">
      <c r="A59" s="157"/>
      <c r="B59" s="75" t="s">
        <v>340</v>
      </c>
      <c r="C59" s="157"/>
      <c r="D59" s="160"/>
      <c r="E59" s="163"/>
      <c r="F59" s="165"/>
      <c r="G59" s="165"/>
      <c r="H59" s="165"/>
      <c r="I59" s="166"/>
      <c r="J59" s="167"/>
      <c r="K59" s="165"/>
      <c r="L59" s="165"/>
      <c r="M59" s="165"/>
      <c r="N59" s="166"/>
      <c r="O59" s="167"/>
      <c r="P59" s="157"/>
      <c r="Q59" s="157"/>
      <c r="R59" s="153"/>
      <c r="S59" s="153"/>
      <c r="T59" s="153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3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</row>
    <row r="60" spans="1:43" s="90" customFormat="1" ht="35.25" customHeight="1" x14ac:dyDescent="0.2">
      <c r="A60" s="157"/>
      <c r="B60" s="95" t="s">
        <v>341</v>
      </c>
      <c r="C60" s="157"/>
      <c r="D60" s="160"/>
      <c r="E60" s="163"/>
      <c r="F60" s="96">
        <v>80</v>
      </c>
      <c r="G60" s="45">
        <v>13.2</v>
      </c>
      <c r="H60" s="97">
        <f>63*2/1000</f>
        <v>0.126</v>
      </c>
      <c r="I60" s="114" t="s">
        <v>297</v>
      </c>
      <c r="J60" s="76">
        <f>0.39374</f>
        <v>0.39373999999999998</v>
      </c>
      <c r="K60" s="96">
        <v>80</v>
      </c>
      <c r="L60" s="45">
        <v>13.2</v>
      </c>
      <c r="M60" s="97">
        <f>63*2/1000</f>
        <v>0.126</v>
      </c>
      <c r="N60" s="114" t="s">
        <v>297</v>
      </c>
      <c r="O60" s="76">
        <f>J60</f>
        <v>0.39373999999999998</v>
      </c>
      <c r="P60" s="157"/>
      <c r="Q60" s="157"/>
      <c r="R60" s="153"/>
      <c r="S60" s="153"/>
      <c r="T60" s="153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3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</row>
    <row r="61" spans="1:43" s="90" customFormat="1" ht="35.25" customHeight="1" x14ac:dyDescent="0.2">
      <c r="A61" s="157"/>
      <c r="B61" s="95" t="s">
        <v>342</v>
      </c>
      <c r="C61" s="157"/>
      <c r="D61" s="160"/>
      <c r="E61" s="163"/>
      <c r="F61" s="96">
        <v>50</v>
      </c>
      <c r="G61" s="45">
        <v>3.5</v>
      </c>
      <c r="H61" s="97">
        <f>10*2/1000</f>
        <v>0.02</v>
      </c>
      <c r="I61" s="114" t="s">
        <v>297</v>
      </c>
      <c r="J61" s="155">
        <f>J58-J63-0.04674</f>
        <v>1.12887</v>
      </c>
      <c r="K61" s="70">
        <v>50</v>
      </c>
      <c r="L61" s="70">
        <v>3.5</v>
      </c>
      <c r="M61" s="70">
        <f>10*2/1000</f>
        <v>0.02</v>
      </c>
      <c r="N61" s="113" t="s">
        <v>297</v>
      </c>
      <c r="O61" s="155">
        <f>J61</f>
        <v>1.12887</v>
      </c>
      <c r="P61" s="157"/>
      <c r="Q61" s="157"/>
      <c r="R61" s="153"/>
      <c r="S61" s="153"/>
      <c r="T61" s="153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3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</row>
    <row r="62" spans="1:43" s="90" customFormat="1" ht="35.25" customHeight="1" x14ac:dyDescent="0.2">
      <c r="A62" s="157"/>
      <c r="B62" s="95" t="s">
        <v>343</v>
      </c>
      <c r="C62" s="157"/>
      <c r="D62" s="160"/>
      <c r="E62" s="163"/>
      <c r="F62" s="96">
        <v>50</v>
      </c>
      <c r="G62" s="45">
        <v>3.5</v>
      </c>
      <c r="H62" s="97">
        <f>10*2/1000</f>
        <v>0.02</v>
      </c>
      <c r="I62" s="114" t="s">
        <v>297</v>
      </c>
      <c r="J62" s="155"/>
      <c r="K62" s="70">
        <v>50</v>
      </c>
      <c r="L62" s="70">
        <v>3.5</v>
      </c>
      <c r="M62" s="70">
        <f>10*2/1000</f>
        <v>0.02</v>
      </c>
      <c r="N62" s="113" t="s">
        <v>297</v>
      </c>
      <c r="O62" s="155"/>
      <c r="P62" s="157"/>
      <c r="Q62" s="157"/>
      <c r="R62" s="153"/>
      <c r="S62" s="153"/>
      <c r="T62" s="153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3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</row>
    <row r="63" spans="1:43" s="90" customFormat="1" ht="34.5" customHeight="1" x14ac:dyDescent="0.2">
      <c r="A63" s="158"/>
      <c r="B63" s="95" t="s">
        <v>344</v>
      </c>
      <c r="C63" s="158"/>
      <c r="D63" s="161"/>
      <c r="E63" s="164"/>
      <c r="F63" s="96">
        <v>150</v>
      </c>
      <c r="G63" s="45">
        <v>64</v>
      </c>
      <c r="H63" s="97">
        <f>21.3*2/1000</f>
        <v>4.2599999999999999E-2</v>
      </c>
      <c r="I63" s="114" t="s">
        <v>297</v>
      </c>
      <c r="J63" s="76">
        <f>0.39113+0.39374</f>
        <v>0.78486999999999996</v>
      </c>
      <c r="K63" s="96">
        <v>150</v>
      </c>
      <c r="L63" s="45">
        <v>64</v>
      </c>
      <c r="M63" s="97">
        <f>21.3*2/1000</f>
        <v>4.2599999999999999E-2</v>
      </c>
      <c r="N63" s="114" t="s">
        <v>297</v>
      </c>
      <c r="O63" s="76">
        <f>J63</f>
        <v>0.78486999999999996</v>
      </c>
      <c r="P63" s="158"/>
      <c r="Q63" s="158"/>
      <c r="R63" s="154"/>
      <c r="S63" s="154"/>
      <c r="T63" s="154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4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</row>
    <row r="64" spans="1:43" s="90" customFormat="1" ht="27" customHeight="1" x14ac:dyDescent="0.2">
      <c r="A64" s="192" t="s">
        <v>284</v>
      </c>
      <c r="B64" s="192"/>
      <c r="C64" s="98"/>
      <c r="D64" s="88"/>
      <c r="E64" s="75"/>
      <c r="F64" s="46"/>
      <c r="G64" s="45"/>
      <c r="H64" s="45"/>
      <c r="I64" s="91"/>
      <c r="J64" s="45"/>
      <c r="K64" s="45"/>
      <c r="L64" s="45"/>
      <c r="M64" s="66"/>
      <c r="N64" s="91"/>
      <c r="O64" s="45"/>
      <c r="P64" s="116"/>
      <c r="Q64" s="116"/>
      <c r="R64" s="115">
        <f t="shared" ref="R64:AE64" si="2">R16+R20+R26+R29+R31+R36+R39+R51+R54+R58</f>
        <v>82251.000000000015</v>
      </c>
      <c r="S64" s="115">
        <f t="shared" si="2"/>
        <v>4112.5500000000011</v>
      </c>
      <c r="T64" s="115">
        <f t="shared" si="2"/>
        <v>78138.450000000012</v>
      </c>
      <c r="U64" s="89">
        <f t="shared" si="2"/>
        <v>0</v>
      </c>
      <c r="V64" s="115">
        <f t="shared" si="2"/>
        <v>6851.0000000000009</v>
      </c>
      <c r="W64" s="115">
        <f t="shared" si="2"/>
        <v>7125</v>
      </c>
      <c r="X64" s="115">
        <f t="shared" si="2"/>
        <v>7410</v>
      </c>
      <c r="Y64" s="115">
        <f t="shared" si="2"/>
        <v>7706.4000000000005</v>
      </c>
      <c r="Z64" s="115">
        <f t="shared" si="2"/>
        <v>8014</v>
      </c>
      <c r="AA64" s="115">
        <f t="shared" si="2"/>
        <v>8335</v>
      </c>
      <c r="AB64" s="115">
        <f t="shared" si="2"/>
        <v>8668</v>
      </c>
      <c r="AC64" s="115">
        <f t="shared" si="2"/>
        <v>9015</v>
      </c>
      <c r="AD64" s="115">
        <f t="shared" si="2"/>
        <v>9376.0000000000018</v>
      </c>
      <c r="AE64" s="115">
        <f t="shared" si="2"/>
        <v>9750.6</v>
      </c>
      <c r="AF64" s="89"/>
      <c r="AG64" s="89">
        <f>AG16+AG20+AG26+AG29+AG31+AG36+AG39+AG51+AG54+AG58</f>
        <v>34358.639999999999</v>
      </c>
      <c r="AH64" s="89">
        <f>AH16+AH20+AH26+AH29+AH31+AH36+AH39+AH51+AH54+AH58</f>
        <v>47892.36</v>
      </c>
      <c r="AI64" s="89">
        <f>AI16+AI20+AI26+AI29+AI31+AI36+AI39+AI51+AI54+AI58</f>
        <v>0</v>
      </c>
      <c r="AJ64" s="89">
        <f>AJ16+AJ20+AJ26+AJ29+AJ31+AJ36+AJ39+AJ51+AJ54+AJ58</f>
        <v>0</v>
      </c>
      <c r="AK64" s="89">
        <f>AK16+AK20+AK26+AK29+AK31+AK36+AK39+AK51+AK54+AK58</f>
        <v>0</v>
      </c>
      <c r="AL64" s="89">
        <f>AL17+AL20+AL26+AL29+AL31+AL36+AL39+AL51+AL54+AL58</f>
        <v>0</v>
      </c>
      <c r="AM64" s="89">
        <f>AM16+AM20+AM26+AM29+AM31+AM36+AM39+AM51+AM54+AM58</f>
        <v>0</v>
      </c>
      <c r="AN64" s="89">
        <f>AN17+AN20+AN26+AN29+AN31+AN36+AN39+AN51+AN54+AN58</f>
        <v>0</v>
      </c>
      <c r="AO64" s="89">
        <f>AO16+AO20+AO26+AO29+AO31+AO36+AO39+AO51+AO54+AO58</f>
        <v>0</v>
      </c>
      <c r="AP64" s="89">
        <f>AP17+AP20+AP26+AP29+AP31+AP36+AP39+AP51+AP54+AP58</f>
        <v>0</v>
      </c>
      <c r="AQ64" s="89">
        <f>AQ16+AQ20+AQ26+AQ29+AQ31+AQ36+AQ39+AQ51+AQ54+AQ58</f>
        <v>0</v>
      </c>
    </row>
    <row r="65" spans="1:109" s="90" customFormat="1" ht="27" customHeight="1" x14ac:dyDescent="0.2">
      <c r="A65" s="192" t="s">
        <v>285</v>
      </c>
      <c r="B65" s="192"/>
      <c r="C65" s="98"/>
      <c r="D65" s="88"/>
      <c r="E65" s="75"/>
      <c r="F65" s="46"/>
      <c r="G65" s="45"/>
      <c r="H65" s="45"/>
      <c r="I65" s="91"/>
      <c r="J65" s="45"/>
      <c r="K65" s="45"/>
      <c r="L65" s="45"/>
      <c r="M65" s="66"/>
      <c r="N65" s="91"/>
      <c r="O65" s="45"/>
      <c r="P65" s="116"/>
      <c r="Q65" s="116"/>
      <c r="R65" s="115">
        <f>R64</f>
        <v>82251.000000000015</v>
      </c>
      <c r="S65" s="115">
        <f t="shared" ref="S65:AD65" si="3">S64</f>
        <v>4112.5500000000011</v>
      </c>
      <c r="T65" s="115">
        <f t="shared" si="3"/>
        <v>78138.450000000012</v>
      </c>
      <c r="U65" s="89">
        <f t="shared" si="3"/>
        <v>0</v>
      </c>
      <c r="V65" s="115">
        <f t="shared" si="3"/>
        <v>6851.0000000000009</v>
      </c>
      <c r="W65" s="115">
        <f t="shared" si="3"/>
        <v>7125</v>
      </c>
      <c r="X65" s="115">
        <f t="shared" si="3"/>
        <v>7410</v>
      </c>
      <c r="Y65" s="115">
        <f t="shared" si="3"/>
        <v>7706.4000000000005</v>
      </c>
      <c r="Z65" s="115">
        <f t="shared" si="3"/>
        <v>8014</v>
      </c>
      <c r="AA65" s="115">
        <f t="shared" si="3"/>
        <v>8335</v>
      </c>
      <c r="AB65" s="115">
        <f t="shared" si="3"/>
        <v>8668</v>
      </c>
      <c r="AC65" s="115">
        <f t="shared" si="3"/>
        <v>9015</v>
      </c>
      <c r="AD65" s="115">
        <f t="shared" si="3"/>
        <v>9376.0000000000018</v>
      </c>
      <c r="AE65" s="115">
        <f>AE64</f>
        <v>9750.6</v>
      </c>
      <c r="AF65" s="89"/>
      <c r="AG65" s="89">
        <f t="shared" ref="AG65:AQ65" si="4">AG64</f>
        <v>34358.639999999999</v>
      </c>
      <c r="AH65" s="89">
        <f t="shared" si="4"/>
        <v>47892.36</v>
      </c>
      <c r="AI65" s="89">
        <f t="shared" si="4"/>
        <v>0</v>
      </c>
      <c r="AJ65" s="89">
        <f t="shared" si="4"/>
        <v>0</v>
      </c>
      <c r="AK65" s="89">
        <f t="shared" si="4"/>
        <v>0</v>
      </c>
      <c r="AL65" s="89">
        <f t="shared" si="4"/>
        <v>0</v>
      </c>
      <c r="AM65" s="89">
        <f t="shared" si="4"/>
        <v>0</v>
      </c>
      <c r="AN65" s="89">
        <f t="shared" si="4"/>
        <v>0</v>
      </c>
      <c r="AO65" s="89">
        <f t="shared" si="4"/>
        <v>0</v>
      </c>
      <c r="AP65" s="89">
        <f t="shared" si="4"/>
        <v>0</v>
      </c>
      <c r="AQ65" s="89">
        <f t="shared" si="4"/>
        <v>0</v>
      </c>
    </row>
    <row r="66" spans="1:109" s="90" customFormat="1" ht="28.5" customHeight="1" x14ac:dyDescent="0.2">
      <c r="A66" s="186" t="s">
        <v>286</v>
      </c>
      <c r="B66" s="186"/>
      <c r="C66" s="99"/>
      <c r="D66" s="75"/>
      <c r="E66" s="75"/>
      <c r="F66" s="70"/>
      <c r="G66" s="75"/>
      <c r="H66" s="70"/>
      <c r="I66" s="75"/>
      <c r="J66" s="75"/>
      <c r="K66" s="75"/>
      <c r="L66" s="75"/>
      <c r="M66" s="65"/>
      <c r="N66" s="75"/>
      <c r="O66" s="75"/>
      <c r="P66" s="117"/>
      <c r="Q66" s="117"/>
      <c r="R66" s="115">
        <f>SUM(V66:AE66)</f>
        <v>98701.2</v>
      </c>
      <c r="S66" s="115">
        <f t="shared" ref="S66:AQ66" si="5">S65*1.2</f>
        <v>4935.0600000000013</v>
      </c>
      <c r="T66" s="115">
        <f>T65*1.2</f>
        <v>93766.140000000014</v>
      </c>
      <c r="U66" s="89">
        <f t="shared" si="5"/>
        <v>0</v>
      </c>
      <c r="V66" s="115">
        <f t="shared" si="5"/>
        <v>8221.2000000000007</v>
      </c>
      <c r="W66" s="115">
        <f t="shared" si="5"/>
        <v>8550</v>
      </c>
      <c r="X66" s="115">
        <f t="shared" si="5"/>
        <v>8892</v>
      </c>
      <c r="Y66" s="115">
        <f t="shared" si="5"/>
        <v>9247.68</v>
      </c>
      <c r="Z66" s="115">
        <f t="shared" si="5"/>
        <v>9616.7999999999993</v>
      </c>
      <c r="AA66" s="115">
        <f t="shared" si="5"/>
        <v>10002</v>
      </c>
      <c r="AB66" s="115">
        <f t="shared" si="5"/>
        <v>10401.6</v>
      </c>
      <c r="AC66" s="115">
        <f t="shared" si="5"/>
        <v>10818</v>
      </c>
      <c r="AD66" s="115">
        <f t="shared" si="5"/>
        <v>11251.200000000003</v>
      </c>
      <c r="AE66" s="115">
        <f t="shared" si="5"/>
        <v>11700.72</v>
      </c>
      <c r="AF66" s="89"/>
      <c r="AG66" s="89">
        <f t="shared" si="5"/>
        <v>41230.367999999995</v>
      </c>
      <c r="AH66" s="89">
        <f t="shared" si="5"/>
        <v>57470.832000000002</v>
      </c>
      <c r="AI66" s="89">
        <f t="shared" si="5"/>
        <v>0</v>
      </c>
      <c r="AJ66" s="89">
        <f t="shared" si="5"/>
        <v>0</v>
      </c>
      <c r="AK66" s="89">
        <f t="shared" si="5"/>
        <v>0</v>
      </c>
      <c r="AL66" s="89">
        <f t="shared" si="5"/>
        <v>0</v>
      </c>
      <c r="AM66" s="89">
        <f t="shared" si="5"/>
        <v>0</v>
      </c>
      <c r="AN66" s="89">
        <f t="shared" si="5"/>
        <v>0</v>
      </c>
      <c r="AO66" s="89">
        <f t="shared" si="5"/>
        <v>0</v>
      </c>
      <c r="AP66" s="89">
        <f t="shared" si="5"/>
        <v>0</v>
      </c>
      <c r="AQ66" s="89">
        <f t="shared" si="5"/>
        <v>0</v>
      </c>
    </row>
    <row r="67" spans="1:109" s="90" customFormat="1" ht="28.5" customHeight="1" x14ac:dyDescent="0.2">
      <c r="B67" s="100"/>
      <c r="F67" s="101"/>
      <c r="H67" s="101"/>
      <c r="M67" s="67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</row>
    <row r="68" spans="1:109" ht="14.25" customHeight="1" x14ac:dyDescent="0.2">
      <c r="B68" s="185" t="s">
        <v>268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03"/>
      <c r="P68" s="103"/>
      <c r="Q68" s="103"/>
      <c r="R68" s="185" t="s">
        <v>269</v>
      </c>
      <c r="S68" s="185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</row>
    <row r="69" spans="1:109" ht="24" customHeight="1" x14ac:dyDescent="0.2">
      <c r="B69" s="12" t="s">
        <v>17</v>
      </c>
    </row>
    <row r="70" spans="1:109" x14ac:dyDescent="0.2">
      <c r="R70" s="102"/>
    </row>
  </sheetData>
  <mergeCells count="474">
    <mergeCell ref="C7:C11"/>
    <mergeCell ref="D7:D11"/>
    <mergeCell ref="E7:E11"/>
    <mergeCell ref="F7:O7"/>
    <mergeCell ref="P7:P11"/>
    <mergeCell ref="Q7:Q11"/>
    <mergeCell ref="A13:N13"/>
    <mergeCell ref="A14:D14"/>
    <mergeCell ref="A64:B64"/>
    <mergeCell ref="A7:A11"/>
    <mergeCell ref="B7:B11"/>
    <mergeCell ref="D51:D53"/>
    <mergeCell ref="E51:E53"/>
    <mergeCell ref="L31:L32"/>
    <mergeCell ref="M31:M32"/>
    <mergeCell ref="N31:N32"/>
    <mergeCell ref="M16:M17"/>
    <mergeCell ref="N16:N17"/>
    <mergeCell ref="C16:C19"/>
    <mergeCell ref="D16:D19"/>
    <mergeCell ref="E16:E19"/>
    <mergeCell ref="P16:P19"/>
    <mergeCell ref="Q16:Q19"/>
    <mergeCell ref="B24:B25"/>
    <mergeCell ref="R7:AF7"/>
    <mergeCell ref="AG7:AQ7"/>
    <mergeCell ref="F8:O8"/>
    <mergeCell ref="R8:T9"/>
    <mergeCell ref="U8:U11"/>
    <mergeCell ref="V8:AE10"/>
    <mergeCell ref="AF8:AF11"/>
    <mergeCell ref="AG8:AG11"/>
    <mergeCell ref="AH8:AH11"/>
    <mergeCell ref="AI8:AI11"/>
    <mergeCell ref="AQ8:AQ11"/>
    <mergeCell ref="F9:J9"/>
    <mergeCell ref="K9:O9"/>
    <mergeCell ref="F10:I10"/>
    <mergeCell ref="J10:J11"/>
    <mergeCell ref="K10:N10"/>
    <mergeCell ref="O10:O11"/>
    <mergeCell ref="AM8:AM11"/>
    <mergeCell ref="AN8:AN11"/>
    <mergeCell ref="AO8:AO11"/>
    <mergeCell ref="AP8:AP11"/>
    <mergeCell ref="AL10:AL11"/>
    <mergeCell ref="R10:R11"/>
    <mergeCell ref="S10:T10"/>
    <mergeCell ref="AK10:AK11"/>
    <mergeCell ref="AJ8:AJ11"/>
    <mergeCell ref="AK8:AL9"/>
    <mergeCell ref="AE16:AE19"/>
    <mergeCell ref="AA16:AA19"/>
    <mergeCell ref="AB16:AB19"/>
    <mergeCell ref="AC16:AC19"/>
    <mergeCell ref="AD16:AD19"/>
    <mergeCell ref="A65:B65"/>
    <mergeCell ref="AI31:AI35"/>
    <mergeCell ref="AJ31:AJ35"/>
    <mergeCell ref="AK31:AK35"/>
    <mergeCell ref="AG54:AG57"/>
    <mergeCell ref="AH54:AH57"/>
    <mergeCell ref="AI54:AI57"/>
    <mergeCell ref="AJ54:AJ57"/>
    <mergeCell ref="AK54:AK57"/>
    <mergeCell ref="AG36:AG38"/>
    <mergeCell ref="AH36:AH38"/>
    <mergeCell ref="AI36:AI38"/>
    <mergeCell ref="AJ36:AJ38"/>
    <mergeCell ref="AK36:AK38"/>
    <mergeCell ref="AG51:AG53"/>
    <mergeCell ref="AH51:AH53"/>
    <mergeCell ref="BA68:DE68"/>
    <mergeCell ref="R68:S68"/>
    <mergeCell ref="A66:B66"/>
    <mergeCell ref="B68:N68"/>
    <mergeCell ref="AL16:AL19"/>
    <mergeCell ref="AM16:AM19"/>
    <mergeCell ref="AN16:AN19"/>
    <mergeCell ref="AO16:AO19"/>
    <mergeCell ref="AP16:AP19"/>
    <mergeCell ref="AL31:AL35"/>
    <mergeCell ref="AM31:AM35"/>
    <mergeCell ref="AN31:AN35"/>
    <mergeCell ref="AO31:AO35"/>
    <mergeCell ref="AP31:AP35"/>
    <mergeCell ref="AL20:AL25"/>
    <mergeCell ref="AM20:AM25"/>
    <mergeCell ref="AN20:AN25"/>
    <mergeCell ref="AN26:AN28"/>
    <mergeCell ref="AO26:AO28"/>
    <mergeCell ref="AP26:AP28"/>
    <mergeCell ref="A58:A63"/>
    <mergeCell ref="C51:C53"/>
    <mergeCell ref="A51:A53"/>
    <mergeCell ref="AH31:AH35"/>
    <mergeCell ref="AI51:AI53"/>
    <mergeCell ref="AJ51:AJ53"/>
    <mergeCell ref="AK51:AK53"/>
    <mergeCell ref="W31:W35"/>
    <mergeCell ref="X31:X35"/>
    <mergeCell ref="Y31:Y35"/>
    <mergeCell ref="Z31:Z35"/>
    <mergeCell ref="AA31:AA35"/>
    <mergeCell ref="A31:A35"/>
    <mergeCell ref="P31:P35"/>
    <mergeCell ref="M36:M37"/>
    <mergeCell ref="N36:N37"/>
    <mergeCell ref="Q31:Q35"/>
    <mergeCell ref="R31:R35"/>
    <mergeCell ref="S31:S35"/>
    <mergeCell ref="T31:T35"/>
    <mergeCell ref="U31:U35"/>
    <mergeCell ref="V31:V35"/>
    <mergeCell ref="C31:C35"/>
    <mergeCell ref="D31:D35"/>
    <mergeCell ref="E31:E35"/>
    <mergeCell ref="J31:J35"/>
    <mergeCell ref="O31:O35"/>
    <mergeCell ref="F31:F32"/>
    <mergeCell ref="S16:S19"/>
    <mergeCell ref="T16:T19"/>
    <mergeCell ref="U16:U19"/>
    <mergeCell ref="V16:V19"/>
    <mergeCell ref="W16:W19"/>
    <mergeCell ref="X16:X19"/>
    <mergeCell ref="Y16:Y19"/>
    <mergeCell ref="Z16:Z19"/>
    <mergeCell ref="A16:A19"/>
    <mergeCell ref="O16:O19"/>
    <mergeCell ref="J16:J19"/>
    <mergeCell ref="F16:F17"/>
    <mergeCell ref="G16:G17"/>
    <mergeCell ref="H16:H17"/>
    <mergeCell ref="I16:I17"/>
    <mergeCell ref="K16:K17"/>
    <mergeCell ref="L16:L17"/>
    <mergeCell ref="R16:R19"/>
    <mergeCell ref="AQ31:AQ35"/>
    <mergeCell ref="AB31:AB35"/>
    <mergeCell ref="AC31:AC35"/>
    <mergeCell ref="AD31:AD35"/>
    <mergeCell ref="AE31:AE35"/>
    <mergeCell ref="AF31:AF35"/>
    <mergeCell ref="AG31:AG35"/>
    <mergeCell ref="AF16:AF19"/>
    <mergeCell ref="AG16:AG19"/>
    <mergeCell ref="AH16:AH19"/>
    <mergeCell ref="AI16:AI19"/>
    <mergeCell ref="AJ16:AJ19"/>
    <mergeCell ref="AK16:AK19"/>
    <mergeCell ref="AJ20:AJ25"/>
    <mergeCell ref="AK20:AK25"/>
    <mergeCell ref="AF26:AF28"/>
    <mergeCell ref="AQ16:AQ19"/>
    <mergeCell ref="AB20:AB25"/>
    <mergeCell ref="AC20:AC25"/>
    <mergeCell ref="AD20:AD25"/>
    <mergeCell ref="AE20:AE25"/>
    <mergeCell ref="AF20:AF25"/>
    <mergeCell ref="AG20:AG25"/>
    <mergeCell ref="AH20:AH25"/>
    <mergeCell ref="W20:W25"/>
    <mergeCell ref="X20:X25"/>
    <mergeCell ref="Y20:Y25"/>
    <mergeCell ref="Z20:Z25"/>
    <mergeCell ref="AA20:AA25"/>
    <mergeCell ref="C20:C25"/>
    <mergeCell ref="D20:D25"/>
    <mergeCell ref="E20:E25"/>
    <mergeCell ref="N20:N21"/>
    <mergeCell ref="O20:O25"/>
    <mergeCell ref="P20:P25"/>
    <mergeCell ref="Q20:Q25"/>
    <mergeCell ref="R20:R25"/>
    <mergeCell ref="S20:S25"/>
    <mergeCell ref="A20:A25"/>
    <mergeCell ref="F20:F21"/>
    <mergeCell ref="G20:G21"/>
    <mergeCell ref="H20:H21"/>
    <mergeCell ref="I20:I21"/>
    <mergeCell ref="J20:J25"/>
    <mergeCell ref="K20:K21"/>
    <mergeCell ref="L20:L21"/>
    <mergeCell ref="M20:M21"/>
    <mergeCell ref="AI20:AI25"/>
    <mergeCell ref="AQ20:AQ25"/>
    <mergeCell ref="J26:J28"/>
    <mergeCell ref="O26:O28"/>
    <mergeCell ref="L26:L27"/>
    <mergeCell ref="M26:M27"/>
    <mergeCell ref="N26:N27"/>
    <mergeCell ref="P26:P28"/>
    <mergeCell ref="Q26:Q28"/>
    <mergeCell ref="R26:R28"/>
    <mergeCell ref="S26:S28"/>
    <mergeCell ref="T26:T28"/>
    <mergeCell ref="U26:U28"/>
    <mergeCell ref="V26:V28"/>
    <mergeCell ref="AL26:AL28"/>
    <mergeCell ref="AM26:AM28"/>
    <mergeCell ref="AH26:AH28"/>
    <mergeCell ref="AI26:AI28"/>
    <mergeCell ref="AJ26:AJ28"/>
    <mergeCell ref="T20:T25"/>
    <mergeCell ref="U20:U25"/>
    <mergeCell ref="V20:V25"/>
    <mergeCell ref="AO20:AO25"/>
    <mergeCell ref="AP20:AP25"/>
    <mergeCell ref="C26:C28"/>
    <mergeCell ref="D26:D28"/>
    <mergeCell ref="E26:E28"/>
    <mergeCell ref="A26:A28"/>
    <mergeCell ref="F26:F27"/>
    <mergeCell ref="G26:G27"/>
    <mergeCell ref="H26:H27"/>
    <mergeCell ref="I26:I27"/>
    <mergeCell ref="K26:K27"/>
    <mergeCell ref="AQ29:AQ30"/>
    <mergeCell ref="AL29:AL30"/>
    <mergeCell ref="AD29:AD30"/>
    <mergeCell ref="R29:R30"/>
    <mergeCell ref="S29:S30"/>
    <mergeCell ref="Y26:Y28"/>
    <mergeCell ref="Z26:Z28"/>
    <mergeCell ref="AA26:AA28"/>
    <mergeCell ref="AB26:AB28"/>
    <mergeCell ref="AC26:AC28"/>
    <mergeCell ref="AD26:AD28"/>
    <mergeCell ref="AE26:AE28"/>
    <mergeCell ref="W26:W28"/>
    <mergeCell ref="X26:X28"/>
    <mergeCell ref="AA29:AA30"/>
    <mergeCell ref="AB29:AB30"/>
    <mergeCell ref="AE29:AE30"/>
    <mergeCell ref="AG26:AG28"/>
    <mergeCell ref="AQ26:AQ28"/>
    <mergeCell ref="AO29:AO30"/>
    <mergeCell ref="AP29:AP30"/>
    <mergeCell ref="AK26:AK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AM29:AM30"/>
    <mergeCell ref="AN29:AN30"/>
    <mergeCell ref="AC29:AC30"/>
    <mergeCell ref="AF29:AF30"/>
    <mergeCell ref="AG29:AG30"/>
    <mergeCell ref="AH29:AH30"/>
    <mergeCell ref="AI29:AI30"/>
    <mergeCell ref="AJ29:AJ30"/>
    <mergeCell ref="AK29:AK30"/>
    <mergeCell ref="T29:T30"/>
    <mergeCell ref="U29:U30"/>
    <mergeCell ref="V29:V30"/>
    <mergeCell ref="W29:W30"/>
    <mergeCell ref="X29:X30"/>
    <mergeCell ref="Y29:Y30"/>
    <mergeCell ref="Z29:Z30"/>
    <mergeCell ref="G31:G32"/>
    <mergeCell ref="H31:H32"/>
    <mergeCell ref="I31:I32"/>
    <mergeCell ref="K31:K32"/>
    <mergeCell ref="AC36:AC38"/>
    <mergeCell ref="AD36:AD38"/>
    <mergeCell ref="AE36:AE38"/>
    <mergeCell ref="AF36:AF38"/>
    <mergeCell ref="A36:A38"/>
    <mergeCell ref="P36:P38"/>
    <mergeCell ref="Q36:Q38"/>
    <mergeCell ref="R36:R38"/>
    <mergeCell ref="S36:S38"/>
    <mergeCell ref="T36:T38"/>
    <mergeCell ref="U36:U38"/>
    <mergeCell ref="V36:V38"/>
    <mergeCell ref="W36:W38"/>
    <mergeCell ref="C36:C38"/>
    <mergeCell ref="D36:D38"/>
    <mergeCell ref="E36:E38"/>
    <mergeCell ref="J36:J38"/>
    <mergeCell ref="O36:O38"/>
    <mergeCell ref="F36:F37"/>
    <mergeCell ref="G36:G37"/>
    <mergeCell ref="H36:H37"/>
    <mergeCell ref="I36:I37"/>
    <mergeCell ref="K36:K37"/>
    <mergeCell ref="L36:L37"/>
    <mergeCell ref="AQ36:AQ38"/>
    <mergeCell ref="B42:B46"/>
    <mergeCell ref="B48:B49"/>
    <mergeCell ref="J42:J50"/>
    <mergeCell ref="O42:O50"/>
    <mergeCell ref="C39:C50"/>
    <mergeCell ref="D39:D50"/>
    <mergeCell ref="E39:E50"/>
    <mergeCell ref="P39:P50"/>
    <mergeCell ref="Q39:Q50"/>
    <mergeCell ref="R39:R50"/>
    <mergeCell ref="S39:S50"/>
    <mergeCell ref="T39:T50"/>
    <mergeCell ref="U39:U50"/>
    <mergeCell ref="V39:V50"/>
    <mergeCell ref="W39:W50"/>
    <mergeCell ref="X39:X50"/>
    <mergeCell ref="Y39:Y50"/>
    <mergeCell ref="Z39:Z50"/>
    <mergeCell ref="X36:X38"/>
    <mergeCell ref="Y36:Y38"/>
    <mergeCell ref="Z36:Z38"/>
    <mergeCell ref="AA36:AA38"/>
    <mergeCell ref="AB36:AB38"/>
    <mergeCell ref="AL39:AL50"/>
    <mergeCell ref="AM39:AM50"/>
    <mergeCell ref="AN39:AN50"/>
    <mergeCell ref="AO39:AO50"/>
    <mergeCell ref="AL36:AL38"/>
    <mergeCell ref="AM36:AM38"/>
    <mergeCell ref="AN36:AN38"/>
    <mergeCell ref="AO36:AO38"/>
    <mergeCell ref="AK39:AK50"/>
    <mergeCell ref="AP36:AP38"/>
    <mergeCell ref="AP39:AP50"/>
    <mergeCell ref="AQ39:AQ50"/>
    <mergeCell ref="A39:A5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AF39:AF50"/>
    <mergeCell ref="AG39:AG50"/>
    <mergeCell ref="AH39:AH50"/>
    <mergeCell ref="AI39:AI50"/>
    <mergeCell ref="AJ39:AJ50"/>
    <mergeCell ref="AE39:AE50"/>
    <mergeCell ref="AA39:AA50"/>
    <mergeCell ref="AB39:AB50"/>
    <mergeCell ref="AC39:AC50"/>
    <mergeCell ref="AD39:AD50"/>
    <mergeCell ref="F51:F52"/>
    <mergeCell ref="G51:G52"/>
    <mergeCell ref="H51:H52"/>
    <mergeCell ref="I51:I52"/>
    <mergeCell ref="J51:J53"/>
    <mergeCell ref="K51:K52"/>
    <mergeCell ref="L51:L52"/>
    <mergeCell ref="M51:M52"/>
    <mergeCell ref="N51:N52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AC51:AC53"/>
    <mergeCell ref="AD51:AD53"/>
    <mergeCell ref="AE51:AE53"/>
    <mergeCell ref="AF51:AF53"/>
    <mergeCell ref="AL51:AL53"/>
    <mergeCell ref="AM51:AM53"/>
    <mergeCell ref="AN51:AN53"/>
    <mergeCell ref="AO51:AO53"/>
    <mergeCell ref="AP51:AP53"/>
    <mergeCell ref="AQ51:AQ53"/>
    <mergeCell ref="A54:A57"/>
    <mergeCell ref="C54:C57"/>
    <mergeCell ref="D54:D57"/>
    <mergeCell ref="E54:E57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7"/>
    <mergeCell ref="Q54:Q57"/>
    <mergeCell ref="R54:R57"/>
    <mergeCell ref="S54:S57"/>
    <mergeCell ref="T54:T57"/>
    <mergeCell ref="U54:U57"/>
    <mergeCell ref="V54:V57"/>
    <mergeCell ref="W54:W57"/>
    <mergeCell ref="C58:C63"/>
    <mergeCell ref="D58:D63"/>
    <mergeCell ref="E58:E63"/>
    <mergeCell ref="P58:P63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L58:AL63"/>
    <mergeCell ref="AM58:AM63"/>
    <mergeCell ref="AN58:AN63"/>
    <mergeCell ref="AN54:AN57"/>
    <mergeCell ref="AO54:AO57"/>
    <mergeCell ref="AP54:AP57"/>
    <mergeCell ref="AQ54:AQ57"/>
    <mergeCell ref="J61:J62"/>
    <mergeCell ref="O61:O62"/>
    <mergeCell ref="Q58:Q63"/>
    <mergeCell ref="R58:R63"/>
    <mergeCell ref="S58:S63"/>
    <mergeCell ref="T58:T63"/>
    <mergeCell ref="X54:X57"/>
    <mergeCell ref="Y54:Y57"/>
    <mergeCell ref="Z54:Z57"/>
    <mergeCell ref="AA54:AA57"/>
    <mergeCell ref="AB54:AB57"/>
    <mergeCell ref="AC54:AC57"/>
    <mergeCell ref="AD54:AD57"/>
    <mergeCell ref="AE54:AE57"/>
    <mergeCell ref="AF54:AF57"/>
    <mergeCell ref="AL54:AL57"/>
    <mergeCell ref="AM54:AM57"/>
    <mergeCell ref="F2:P2"/>
    <mergeCell ref="F3:P3"/>
    <mergeCell ref="F4:P4"/>
    <mergeCell ref="F5:P5"/>
    <mergeCell ref="AO58:AO63"/>
    <mergeCell ref="AP58:AP63"/>
    <mergeCell ref="AQ58:AQ63"/>
    <mergeCell ref="U58:U63"/>
    <mergeCell ref="V58:V63"/>
    <mergeCell ref="W58:W63"/>
    <mergeCell ref="X58:X63"/>
    <mergeCell ref="Y58:Y63"/>
    <mergeCell ref="Z58:Z63"/>
    <mergeCell ref="AA58:AA63"/>
    <mergeCell ref="AB58:AB63"/>
    <mergeCell ref="AC58:AC63"/>
    <mergeCell ref="AD58:AD63"/>
    <mergeCell ref="AE58:AE63"/>
    <mergeCell ref="AF58:AF63"/>
    <mergeCell ref="AG58:AG63"/>
    <mergeCell ref="AH58:AH63"/>
    <mergeCell ref="AI58:AI63"/>
    <mergeCell ref="AJ58:AJ63"/>
    <mergeCell ref="AK58:AK63"/>
  </mergeCells>
  <pageMargins left="1.4173228346456694" right="0.23622047244094491" top="0.39370078740157483" bottom="0.19685039370078741" header="0.31496062992125984" footer="0.31496062992125984"/>
  <pageSetup paperSize="257" scale="6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24"/>
  <sheetViews>
    <sheetView topLeftCell="A7" zoomScaleNormal="100" zoomScaleSheetLayoutView="100" workbookViewId="0">
      <selection activeCell="FR16" sqref="FR16:GD16"/>
    </sheetView>
  </sheetViews>
  <sheetFormatPr defaultColWidth="0.85546875" defaultRowHeight="15.75" customHeight="1" x14ac:dyDescent="0.25"/>
  <cols>
    <col min="1" max="120" width="0.85546875" style="5"/>
    <col min="121" max="122" width="0.85546875" style="5" customWidth="1"/>
    <col min="123" max="16384" width="0.85546875" style="5"/>
  </cols>
  <sheetData>
    <row r="1" spans="1:252" ht="15.75" customHeight="1" x14ac:dyDescent="0.25">
      <c r="FD1" s="6" t="s">
        <v>91</v>
      </c>
    </row>
    <row r="2" spans="1:252" ht="6" customHeight="1" x14ac:dyDescent="0.25"/>
    <row r="3" spans="1:252" s="9" customFormat="1" ht="50.25" customHeight="1" x14ac:dyDescent="0.25">
      <c r="A3" s="144" t="s">
        <v>302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  <c r="DG3" s="216"/>
      <c r="DH3" s="216"/>
      <c r="DI3" s="216"/>
      <c r="DJ3" s="216"/>
      <c r="DK3" s="216"/>
      <c r="DL3" s="216"/>
      <c r="DM3" s="216"/>
      <c r="DN3" s="216"/>
      <c r="DO3" s="216"/>
      <c r="DP3" s="216"/>
      <c r="DQ3" s="216"/>
      <c r="DR3" s="216"/>
      <c r="DS3" s="216"/>
      <c r="DT3" s="216"/>
      <c r="DU3" s="216"/>
      <c r="DV3" s="216"/>
      <c r="DW3" s="216"/>
      <c r="DX3" s="216"/>
      <c r="DY3" s="216"/>
      <c r="DZ3" s="216"/>
      <c r="EA3" s="216"/>
      <c r="EB3" s="216"/>
      <c r="EC3" s="216"/>
      <c r="ED3" s="216"/>
      <c r="EE3" s="216"/>
      <c r="EF3" s="216"/>
      <c r="EG3" s="216"/>
      <c r="EH3" s="216"/>
      <c r="EI3" s="216"/>
      <c r="EJ3" s="216"/>
      <c r="EK3" s="216"/>
      <c r="EL3" s="216"/>
      <c r="EM3" s="216"/>
      <c r="EN3" s="216"/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</row>
    <row r="4" spans="1:252" ht="28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23" t="s">
        <v>270</v>
      </c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3" customFormat="1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40" t="s">
        <v>5</v>
      </c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6" customHeight="1" x14ac:dyDescent="0.25"/>
    <row r="7" spans="1:252" s="1" customFormat="1" ht="13.5" customHeight="1" x14ac:dyDescent="0.2">
      <c r="A7" s="224" t="s">
        <v>21</v>
      </c>
      <c r="B7" s="147"/>
      <c r="C7" s="147"/>
      <c r="D7" s="147"/>
      <c r="E7" s="225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218"/>
      <c r="BQ7" s="217" t="s">
        <v>98</v>
      </c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218"/>
      <c r="CP7" s="224" t="s">
        <v>108</v>
      </c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225"/>
      <c r="DD7" s="224" t="s">
        <v>109</v>
      </c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225"/>
      <c r="DR7" s="236" t="s">
        <v>110</v>
      </c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6"/>
      <c r="EE7" s="236"/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6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36"/>
      <c r="FK7" s="236"/>
      <c r="FL7" s="236"/>
      <c r="FM7" s="236"/>
      <c r="FN7" s="236"/>
      <c r="FO7" s="236"/>
      <c r="FP7" s="236"/>
      <c r="FQ7" s="236"/>
      <c r="FR7" s="236"/>
      <c r="FS7" s="236"/>
      <c r="FT7" s="236"/>
      <c r="FU7" s="236"/>
      <c r="FV7" s="236"/>
      <c r="FW7" s="236"/>
      <c r="FX7" s="236"/>
      <c r="FY7" s="236"/>
      <c r="FZ7" s="236"/>
      <c r="GA7" s="236"/>
      <c r="GB7" s="236"/>
      <c r="GC7" s="236"/>
      <c r="GD7" s="236"/>
      <c r="GE7" s="236"/>
      <c r="GF7" s="236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236"/>
      <c r="HY7" s="236"/>
      <c r="HZ7" s="236"/>
      <c r="IA7" s="236"/>
      <c r="IB7" s="236"/>
      <c r="IC7" s="236"/>
      <c r="ID7" s="236"/>
      <c r="IE7" s="236"/>
      <c r="IF7" s="236"/>
      <c r="IG7" s="236"/>
      <c r="IH7" s="236"/>
      <c r="II7" s="236"/>
      <c r="IJ7" s="236"/>
      <c r="IK7" s="236"/>
      <c r="IL7" s="236"/>
      <c r="IM7" s="236"/>
      <c r="IN7" s="236"/>
      <c r="IO7" s="236"/>
      <c r="IP7" s="236"/>
      <c r="IQ7" s="236"/>
    </row>
    <row r="8" spans="1:252" s="1" customFormat="1" ht="13.5" customHeight="1" x14ac:dyDescent="0.2">
      <c r="A8" s="226"/>
      <c r="B8" s="131"/>
      <c r="C8" s="131"/>
      <c r="D8" s="131"/>
      <c r="E8" s="227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231"/>
      <c r="BQ8" s="234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231"/>
      <c r="CP8" s="226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227"/>
      <c r="DD8" s="226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227"/>
      <c r="DR8" s="236" t="s">
        <v>111</v>
      </c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6"/>
      <c r="IA8" s="236"/>
      <c r="IB8" s="236"/>
      <c r="IC8" s="236"/>
      <c r="ID8" s="236"/>
      <c r="IE8" s="236"/>
      <c r="IF8" s="236"/>
      <c r="IG8" s="236"/>
      <c r="IH8" s="236"/>
      <c r="II8" s="236"/>
      <c r="IJ8" s="236"/>
      <c r="IK8" s="236"/>
      <c r="IL8" s="236"/>
      <c r="IM8" s="236"/>
      <c r="IN8" s="236"/>
      <c r="IO8" s="236"/>
      <c r="IP8" s="236"/>
      <c r="IQ8" s="236"/>
    </row>
    <row r="9" spans="1:252" s="1" customFormat="1" ht="13.5" customHeight="1" x14ac:dyDescent="0.2">
      <c r="A9" s="228"/>
      <c r="B9" s="229"/>
      <c r="C9" s="229"/>
      <c r="D9" s="229"/>
      <c r="E9" s="230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3"/>
      <c r="BQ9" s="235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3"/>
      <c r="CP9" s="228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30"/>
      <c r="DD9" s="228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30"/>
      <c r="DR9" s="205">
        <v>2024</v>
      </c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7"/>
      <c r="EE9" s="205">
        <v>2025</v>
      </c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7"/>
      <c r="ER9" s="205">
        <v>2026</v>
      </c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7"/>
      <c r="FE9" s="205">
        <v>2027</v>
      </c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7"/>
      <c r="FR9" s="205">
        <v>2028</v>
      </c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7"/>
      <c r="GE9" s="205">
        <v>2029</v>
      </c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7"/>
      <c r="GR9" s="205">
        <v>2030</v>
      </c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7"/>
      <c r="HE9" s="205">
        <v>2031</v>
      </c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7"/>
      <c r="HR9" s="205">
        <v>2032</v>
      </c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7"/>
      <c r="IE9" s="205">
        <v>2033</v>
      </c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7"/>
    </row>
    <row r="10" spans="1:252" s="1" customFormat="1" ht="13.5" customHeight="1" x14ac:dyDescent="0.2">
      <c r="A10" s="217">
        <v>1</v>
      </c>
      <c r="B10" s="140"/>
      <c r="C10" s="140"/>
      <c r="D10" s="140"/>
      <c r="E10" s="218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7"/>
      <c r="BQ10" s="205">
        <v>3</v>
      </c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7"/>
      <c r="CP10" s="205">
        <v>4</v>
      </c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7"/>
      <c r="DD10" s="205">
        <v>5</v>
      </c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7"/>
      <c r="DR10" s="205">
        <v>6</v>
      </c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7"/>
      <c r="EE10" s="205">
        <v>7</v>
      </c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7"/>
      <c r="ER10" s="205">
        <v>8</v>
      </c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7"/>
      <c r="FE10" s="205">
        <v>9</v>
      </c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7"/>
      <c r="FR10" s="205">
        <v>10</v>
      </c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7"/>
      <c r="GE10" s="205">
        <v>11</v>
      </c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7"/>
      <c r="GR10" s="205">
        <v>12</v>
      </c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7"/>
      <c r="HE10" s="205">
        <v>13</v>
      </c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7"/>
      <c r="HR10" s="205">
        <v>14</v>
      </c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7"/>
      <c r="IE10" s="205">
        <v>15</v>
      </c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7"/>
    </row>
    <row r="11" spans="1:252" s="10" customFormat="1" ht="31.5" customHeight="1" x14ac:dyDescent="0.2">
      <c r="A11" s="242">
        <v>1</v>
      </c>
      <c r="B11" s="243"/>
      <c r="C11" s="243"/>
      <c r="D11" s="243"/>
      <c r="E11" s="244"/>
      <c r="F11" s="219" t="s">
        <v>97</v>
      </c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20"/>
      <c r="BQ11" s="205" t="s">
        <v>99</v>
      </c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7"/>
      <c r="CP11" s="205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7"/>
      <c r="DD11" s="205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7"/>
      <c r="DR11" s="208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10"/>
      <c r="EE11" s="208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10"/>
      <c r="ER11" s="208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10"/>
      <c r="FE11" s="208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10"/>
      <c r="FR11" s="208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10"/>
      <c r="GE11" s="208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  <c r="GP11" s="209"/>
      <c r="GQ11" s="210"/>
      <c r="GR11" s="208"/>
      <c r="GS11" s="209"/>
      <c r="GT11" s="209"/>
      <c r="GU11" s="209"/>
      <c r="GV11" s="209"/>
      <c r="GW11" s="209"/>
      <c r="GX11" s="209"/>
      <c r="GY11" s="209"/>
      <c r="GZ11" s="209"/>
      <c r="HA11" s="209"/>
      <c r="HB11" s="209"/>
      <c r="HC11" s="209"/>
      <c r="HD11" s="210"/>
      <c r="HE11" s="208"/>
      <c r="HF11" s="209"/>
      <c r="HG11" s="209"/>
      <c r="HH11" s="209"/>
      <c r="HI11" s="209"/>
      <c r="HJ11" s="209"/>
      <c r="HK11" s="209"/>
      <c r="HL11" s="209"/>
      <c r="HM11" s="209"/>
      <c r="HN11" s="209"/>
      <c r="HO11" s="209"/>
      <c r="HP11" s="209"/>
      <c r="HQ11" s="210"/>
      <c r="HR11" s="208"/>
      <c r="HS11" s="209"/>
      <c r="HT11" s="209"/>
      <c r="HU11" s="209"/>
      <c r="HV11" s="209"/>
      <c r="HW11" s="209"/>
      <c r="HX11" s="209"/>
      <c r="HY11" s="209"/>
      <c r="HZ11" s="209"/>
      <c r="IA11" s="209"/>
      <c r="IB11" s="209"/>
      <c r="IC11" s="209"/>
      <c r="ID11" s="210"/>
      <c r="IE11" s="208"/>
      <c r="IF11" s="209"/>
      <c r="IG11" s="209"/>
      <c r="IH11" s="209"/>
      <c r="II11" s="209"/>
      <c r="IJ11" s="209"/>
      <c r="IK11" s="209"/>
      <c r="IL11" s="209"/>
      <c r="IM11" s="209"/>
      <c r="IN11" s="209"/>
      <c r="IO11" s="209"/>
      <c r="IP11" s="209"/>
      <c r="IQ11" s="210"/>
      <c r="IR11" s="1"/>
    </row>
    <row r="12" spans="1:252" s="10" customFormat="1" ht="27" customHeight="1" x14ac:dyDescent="0.2">
      <c r="A12" s="245"/>
      <c r="B12" s="246"/>
      <c r="C12" s="246"/>
      <c r="D12" s="246"/>
      <c r="E12" s="247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2"/>
      <c r="BQ12" s="205" t="s">
        <v>259</v>
      </c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7"/>
      <c r="CP12" s="205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7"/>
      <c r="DD12" s="205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7"/>
      <c r="DR12" s="208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10"/>
      <c r="EE12" s="208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10"/>
      <c r="ER12" s="208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  <c r="FC12" s="209"/>
      <c r="FD12" s="210"/>
      <c r="FE12" s="208"/>
      <c r="FF12" s="209"/>
      <c r="FG12" s="209"/>
      <c r="FH12" s="209"/>
      <c r="FI12" s="209"/>
      <c r="FJ12" s="209"/>
      <c r="FK12" s="209"/>
      <c r="FL12" s="209"/>
      <c r="FM12" s="209"/>
      <c r="FN12" s="209"/>
      <c r="FO12" s="209"/>
      <c r="FP12" s="209"/>
      <c r="FQ12" s="210"/>
      <c r="FR12" s="208"/>
      <c r="FS12" s="209"/>
      <c r="FT12" s="209"/>
      <c r="FU12" s="209"/>
      <c r="FV12" s="209"/>
      <c r="FW12" s="209"/>
      <c r="FX12" s="209"/>
      <c r="FY12" s="209"/>
      <c r="FZ12" s="209"/>
      <c r="GA12" s="209"/>
      <c r="GB12" s="209"/>
      <c r="GC12" s="209"/>
      <c r="GD12" s="210"/>
      <c r="GE12" s="208"/>
      <c r="GF12" s="209"/>
      <c r="GG12" s="209"/>
      <c r="GH12" s="209"/>
      <c r="GI12" s="209"/>
      <c r="GJ12" s="209"/>
      <c r="GK12" s="209"/>
      <c r="GL12" s="209"/>
      <c r="GM12" s="209"/>
      <c r="GN12" s="209"/>
      <c r="GO12" s="209"/>
      <c r="GP12" s="209"/>
      <c r="GQ12" s="210"/>
      <c r="GR12" s="208"/>
      <c r="GS12" s="209"/>
      <c r="GT12" s="209"/>
      <c r="GU12" s="209"/>
      <c r="GV12" s="209"/>
      <c r="GW12" s="209"/>
      <c r="GX12" s="209"/>
      <c r="GY12" s="209"/>
      <c r="GZ12" s="209"/>
      <c r="HA12" s="209"/>
      <c r="HB12" s="209"/>
      <c r="HC12" s="209"/>
      <c r="HD12" s="210"/>
      <c r="HE12" s="208"/>
      <c r="HF12" s="209"/>
      <c r="HG12" s="209"/>
      <c r="HH12" s="209"/>
      <c r="HI12" s="209"/>
      <c r="HJ12" s="209"/>
      <c r="HK12" s="209"/>
      <c r="HL12" s="209"/>
      <c r="HM12" s="209"/>
      <c r="HN12" s="209"/>
      <c r="HO12" s="209"/>
      <c r="HP12" s="209"/>
      <c r="HQ12" s="210"/>
      <c r="HR12" s="208"/>
      <c r="HS12" s="209"/>
      <c r="HT12" s="209"/>
      <c r="HU12" s="209"/>
      <c r="HV12" s="209"/>
      <c r="HW12" s="209"/>
      <c r="HX12" s="209"/>
      <c r="HY12" s="209"/>
      <c r="HZ12" s="209"/>
      <c r="IA12" s="209"/>
      <c r="IB12" s="209"/>
      <c r="IC12" s="209"/>
      <c r="ID12" s="210"/>
      <c r="IE12" s="208"/>
      <c r="IF12" s="209"/>
      <c r="IG12" s="209"/>
      <c r="IH12" s="209"/>
      <c r="II12" s="209"/>
      <c r="IJ12" s="209"/>
      <c r="IK12" s="209"/>
      <c r="IL12" s="209"/>
      <c r="IM12" s="209"/>
      <c r="IN12" s="209"/>
      <c r="IO12" s="209"/>
      <c r="IP12" s="209"/>
      <c r="IQ12" s="210"/>
      <c r="IR12" s="1"/>
    </row>
    <row r="13" spans="1:252" s="10" customFormat="1" ht="13.5" customHeight="1" x14ac:dyDescent="0.2">
      <c r="A13" s="242">
        <v>2</v>
      </c>
      <c r="B13" s="243"/>
      <c r="C13" s="243"/>
      <c r="D13" s="243"/>
      <c r="E13" s="244"/>
      <c r="F13" s="219" t="s">
        <v>92</v>
      </c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20"/>
      <c r="BQ13" s="205" t="s">
        <v>100</v>
      </c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7"/>
      <c r="CP13" s="205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7"/>
      <c r="DD13" s="205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7"/>
      <c r="DR13" s="208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10"/>
      <c r="EE13" s="208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10"/>
      <c r="ER13" s="208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10"/>
      <c r="FE13" s="208"/>
      <c r="FF13" s="209"/>
      <c r="FG13" s="209"/>
      <c r="FH13" s="209"/>
      <c r="FI13" s="209"/>
      <c r="FJ13" s="209"/>
      <c r="FK13" s="209"/>
      <c r="FL13" s="209"/>
      <c r="FM13" s="209"/>
      <c r="FN13" s="209"/>
      <c r="FO13" s="209"/>
      <c r="FP13" s="209"/>
      <c r="FQ13" s="210"/>
      <c r="FR13" s="208"/>
      <c r="FS13" s="209"/>
      <c r="FT13" s="209"/>
      <c r="FU13" s="209"/>
      <c r="FV13" s="209"/>
      <c r="FW13" s="209"/>
      <c r="FX13" s="209"/>
      <c r="FY13" s="209"/>
      <c r="FZ13" s="209"/>
      <c r="GA13" s="209"/>
      <c r="GB13" s="209"/>
      <c r="GC13" s="209"/>
      <c r="GD13" s="210"/>
      <c r="GE13" s="208"/>
      <c r="GF13" s="209"/>
      <c r="GG13" s="209"/>
      <c r="GH13" s="209"/>
      <c r="GI13" s="209"/>
      <c r="GJ13" s="209"/>
      <c r="GK13" s="209"/>
      <c r="GL13" s="209"/>
      <c r="GM13" s="209"/>
      <c r="GN13" s="209"/>
      <c r="GO13" s="209"/>
      <c r="GP13" s="209"/>
      <c r="GQ13" s="210"/>
      <c r="GR13" s="208"/>
      <c r="GS13" s="209"/>
      <c r="GT13" s="209"/>
      <c r="GU13" s="209"/>
      <c r="GV13" s="209"/>
      <c r="GW13" s="209"/>
      <c r="GX13" s="209"/>
      <c r="GY13" s="209"/>
      <c r="GZ13" s="209"/>
      <c r="HA13" s="209"/>
      <c r="HB13" s="209"/>
      <c r="HC13" s="209"/>
      <c r="HD13" s="210"/>
      <c r="HE13" s="208"/>
      <c r="HF13" s="209"/>
      <c r="HG13" s="209"/>
      <c r="HH13" s="209"/>
      <c r="HI13" s="209"/>
      <c r="HJ13" s="209"/>
      <c r="HK13" s="209"/>
      <c r="HL13" s="209"/>
      <c r="HM13" s="209"/>
      <c r="HN13" s="209"/>
      <c r="HO13" s="209"/>
      <c r="HP13" s="209"/>
      <c r="HQ13" s="210"/>
      <c r="HR13" s="208"/>
      <c r="HS13" s="209"/>
      <c r="HT13" s="209"/>
      <c r="HU13" s="209"/>
      <c r="HV13" s="209"/>
      <c r="HW13" s="209"/>
      <c r="HX13" s="209"/>
      <c r="HY13" s="209"/>
      <c r="HZ13" s="209"/>
      <c r="IA13" s="209"/>
      <c r="IB13" s="209"/>
      <c r="IC13" s="209"/>
      <c r="ID13" s="210"/>
      <c r="IE13" s="208"/>
      <c r="IF13" s="209"/>
      <c r="IG13" s="209"/>
      <c r="IH13" s="209"/>
      <c r="II13" s="209"/>
      <c r="IJ13" s="209"/>
      <c r="IK13" s="209"/>
      <c r="IL13" s="209"/>
      <c r="IM13" s="209"/>
      <c r="IN13" s="209"/>
      <c r="IO13" s="209"/>
      <c r="IP13" s="209"/>
      <c r="IQ13" s="210"/>
      <c r="IR13" s="1"/>
    </row>
    <row r="14" spans="1:252" s="10" customFormat="1" ht="13.5" customHeight="1" x14ac:dyDescent="0.2">
      <c r="A14" s="245"/>
      <c r="B14" s="246"/>
      <c r="C14" s="246"/>
      <c r="D14" s="246"/>
      <c r="E14" s="247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2"/>
      <c r="BQ14" s="205" t="s">
        <v>101</v>
      </c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7"/>
      <c r="CP14" s="205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7"/>
      <c r="DD14" s="205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7"/>
      <c r="DR14" s="208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10"/>
      <c r="EE14" s="208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10"/>
      <c r="ER14" s="208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  <c r="FC14" s="209"/>
      <c r="FD14" s="210"/>
      <c r="FE14" s="208"/>
      <c r="FF14" s="209"/>
      <c r="FG14" s="209"/>
      <c r="FH14" s="209"/>
      <c r="FI14" s="209"/>
      <c r="FJ14" s="209"/>
      <c r="FK14" s="209"/>
      <c r="FL14" s="209"/>
      <c r="FM14" s="209"/>
      <c r="FN14" s="209"/>
      <c r="FO14" s="209"/>
      <c r="FP14" s="209"/>
      <c r="FQ14" s="210"/>
      <c r="FR14" s="208"/>
      <c r="FS14" s="209"/>
      <c r="FT14" s="209"/>
      <c r="FU14" s="209"/>
      <c r="FV14" s="209"/>
      <c r="FW14" s="209"/>
      <c r="FX14" s="209"/>
      <c r="FY14" s="209"/>
      <c r="FZ14" s="209"/>
      <c r="GA14" s="209"/>
      <c r="GB14" s="209"/>
      <c r="GC14" s="209"/>
      <c r="GD14" s="210"/>
      <c r="GE14" s="208"/>
      <c r="GF14" s="209"/>
      <c r="GG14" s="209"/>
      <c r="GH14" s="209"/>
      <c r="GI14" s="209"/>
      <c r="GJ14" s="209"/>
      <c r="GK14" s="209"/>
      <c r="GL14" s="209"/>
      <c r="GM14" s="209"/>
      <c r="GN14" s="209"/>
      <c r="GO14" s="209"/>
      <c r="GP14" s="209"/>
      <c r="GQ14" s="210"/>
      <c r="GR14" s="208"/>
      <c r="GS14" s="209"/>
      <c r="GT14" s="209"/>
      <c r="GU14" s="209"/>
      <c r="GV14" s="209"/>
      <c r="GW14" s="209"/>
      <c r="GX14" s="209"/>
      <c r="GY14" s="209"/>
      <c r="GZ14" s="209"/>
      <c r="HA14" s="209"/>
      <c r="HB14" s="209"/>
      <c r="HC14" s="209"/>
      <c r="HD14" s="210"/>
      <c r="HE14" s="208"/>
      <c r="HF14" s="209"/>
      <c r="HG14" s="209"/>
      <c r="HH14" s="209"/>
      <c r="HI14" s="209"/>
      <c r="HJ14" s="209"/>
      <c r="HK14" s="209"/>
      <c r="HL14" s="209"/>
      <c r="HM14" s="209"/>
      <c r="HN14" s="209"/>
      <c r="HO14" s="209"/>
      <c r="HP14" s="209"/>
      <c r="HQ14" s="210"/>
      <c r="HR14" s="208"/>
      <c r="HS14" s="209"/>
      <c r="HT14" s="209"/>
      <c r="HU14" s="209"/>
      <c r="HV14" s="209"/>
      <c r="HW14" s="209"/>
      <c r="HX14" s="209"/>
      <c r="HY14" s="209"/>
      <c r="HZ14" s="209"/>
      <c r="IA14" s="209"/>
      <c r="IB14" s="209"/>
      <c r="IC14" s="209"/>
      <c r="ID14" s="210"/>
      <c r="IE14" s="208"/>
      <c r="IF14" s="209"/>
      <c r="IG14" s="209"/>
      <c r="IH14" s="209"/>
      <c r="II14" s="209"/>
      <c r="IJ14" s="209"/>
      <c r="IK14" s="209"/>
      <c r="IL14" s="209"/>
      <c r="IM14" s="209"/>
      <c r="IN14" s="209"/>
      <c r="IO14" s="209"/>
      <c r="IP14" s="209"/>
      <c r="IQ14" s="210"/>
      <c r="IR14" s="1"/>
    </row>
    <row r="15" spans="1:252" s="10" customFormat="1" ht="13.5" customHeight="1" x14ac:dyDescent="0.2">
      <c r="A15" s="239">
        <v>3</v>
      </c>
      <c r="B15" s="240"/>
      <c r="C15" s="240"/>
      <c r="D15" s="240"/>
      <c r="E15" s="241"/>
      <c r="F15" s="237" t="s">
        <v>93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8"/>
      <c r="BQ15" s="205" t="s">
        <v>102</v>
      </c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7"/>
      <c r="CP15" s="205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7"/>
      <c r="DD15" s="205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7"/>
      <c r="DR15" s="208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10"/>
      <c r="EE15" s="208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10"/>
      <c r="ER15" s="208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10"/>
      <c r="FE15" s="208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10"/>
      <c r="FR15" s="208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10"/>
      <c r="GE15" s="208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10"/>
      <c r="GR15" s="208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10"/>
      <c r="HE15" s="208"/>
      <c r="HF15" s="209"/>
      <c r="HG15" s="209"/>
      <c r="HH15" s="209"/>
      <c r="HI15" s="209"/>
      <c r="HJ15" s="209"/>
      <c r="HK15" s="209"/>
      <c r="HL15" s="209"/>
      <c r="HM15" s="209"/>
      <c r="HN15" s="209"/>
      <c r="HO15" s="209"/>
      <c r="HP15" s="209"/>
      <c r="HQ15" s="210"/>
      <c r="HR15" s="208"/>
      <c r="HS15" s="209"/>
      <c r="HT15" s="209"/>
      <c r="HU15" s="209"/>
      <c r="HV15" s="209"/>
      <c r="HW15" s="209"/>
      <c r="HX15" s="209"/>
      <c r="HY15" s="209"/>
      <c r="HZ15" s="209"/>
      <c r="IA15" s="209"/>
      <c r="IB15" s="209"/>
      <c r="IC15" s="209"/>
      <c r="ID15" s="210"/>
      <c r="IE15" s="208"/>
      <c r="IF15" s="209"/>
      <c r="IG15" s="209"/>
      <c r="IH15" s="209"/>
      <c r="II15" s="209"/>
      <c r="IJ15" s="209"/>
      <c r="IK15" s="209"/>
      <c r="IL15" s="209"/>
      <c r="IM15" s="209"/>
      <c r="IN15" s="209"/>
      <c r="IO15" s="209"/>
      <c r="IP15" s="209"/>
      <c r="IQ15" s="210"/>
      <c r="IR15" s="1"/>
    </row>
    <row r="16" spans="1:252" s="10" customFormat="1" ht="40.5" customHeight="1" x14ac:dyDescent="0.2">
      <c r="A16" s="239">
        <v>4</v>
      </c>
      <c r="B16" s="240"/>
      <c r="C16" s="240"/>
      <c r="D16" s="240"/>
      <c r="E16" s="241"/>
      <c r="F16" s="237" t="s">
        <v>94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8"/>
      <c r="BQ16" s="205" t="s">
        <v>103</v>
      </c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7"/>
      <c r="CP16" s="205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7"/>
      <c r="DD16" s="205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7"/>
      <c r="DR16" s="208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10"/>
      <c r="EE16" s="208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10"/>
      <c r="ER16" s="208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10"/>
      <c r="FE16" s="208"/>
      <c r="FF16" s="209"/>
      <c r="FG16" s="209"/>
      <c r="FH16" s="209"/>
      <c r="FI16" s="209"/>
      <c r="FJ16" s="209"/>
      <c r="FK16" s="209"/>
      <c r="FL16" s="209"/>
      <c r="FM16" s="209"/>
      <c r="FN16" s="209"/>
      <c r="FO16" s="209"/>
      <c r="FP16" s="209"/>
      <c r="FQ16" s="210"/>
      <c r="FR16" s="208"/>
      <c r="FS16" s="209"/>
      <c r="FT16" s="209"/>
      <c r="FU16" s="209"/>
      <c r="FV16" s="209"/>
      <c r="FW16" s="209"/>
      <c r="FX16" s="209"/>
      <c r="FY16" s="209"/>
      <c r="FZ16" s="209"/>
      <c r="GA16" s="209"/>
      <c r="GB16" s="209"/>
      <c r="GC16" s="209"/>
      <c r="GD16" s="210"/>
      <c r="GE16" s="208"/>
      <c r="GF16" s="209"/>
      <c r="GG16" s="209"/>
      <c r="GH16" s="209"/>
      <c r="GI16" s="209"/>
      <c r="GJ16" s="209"/>
      <c r="GK16" s="209"/>
      <c r="GL16" s="209"/>
      <c r="GM16" s="209"/>
      <c r="GN16" s="209"/>
      <c r="GO16" s="209"/>
      <c r="GP16" s="209"/>
      <c r="GQ16" s="210"/>
      <c r="GR16" s="208"/>
      <c r="GS16" s="209"/>
      <c r="GT16" s="209"/>
      <c r="GU16" s="209"/>
      <c r="GV16" s="209"/>
      <c r="GW16" s="209"/>
      <c r="GX16" s="209"/>
      <c r="GY16" s="209"/>
      <c r="GZ16" s="209"/>
      <c r="HA16" s="209"/>
      <c r="HB16" s="209"/>
      <c r="HC16" s="209"/>
      <c r="HD16" s="210"/>
      <c r="HE16" s="208"/>
      <c r="HF16" s="209"/>
      <c r="HG16" s="209"/>
      <c r="HH16" s="209"/>
      <c r="HI16" s="209"/>
      <c r="HJ16" s="209"/>
      <c r="HK16" s="209"/>
      <c r="HL16" s="209"/>
      <c r="HM16" s="209"/>
      <c r="HN16" s="209"/>
      <c r="HO16" s="209"/>
      <c r="HP16" s="209"/>
      <c r="HQ16" s="210"/>
      <c r="HR16" s="208"/>
      <c r="HS16" s="209"/>
      <c r="HT16" s="209"/>
      <c r="HU16" s="209"/>
      <c r="HV16" s="209"/>
      <c r="HW16" s="209"/>
      <c r="HX16" s="209"/>
      <c r="HY16" s="209"/>
      <c r="HZ16" s="209"/>
      <c r="IA16" s="209"/>
      <c r="IB16" s="209"/>
      <c r="IC16" s="209"/>
      <c r="ID16" s="210"/>
      <c r="IE16" s="208"/>
      <c r="IF16" s="209"/>
      <c r="IG16" s="209"/>
      <c r="IH16" s="209"/>
      <c r="II16" s="209"/>
      <c r="IJ16" s="209"/>
      <c r="IK16" s="209"/>
      <c r="IL16" s="209"/>
      <c r="IM16" s="209"/>
      <c r="IN16" s="209"/>
      <c r="IO16" s="209"/>
      <c r="IP16" s="209"/>
      <c r="IQ16" s="210"/>
      <c r="IR16" s="1"/>
    </row>
    <row r="17" spans="1:252" s="40" customFormat="1" ht="13.5" customHeight="1" x14ac:dyDescent="0.2">
      <c r="A17" s="242">
        <v>5</v>
      </c>
      <c r="B17" s="243"/>
      <c r="C17" s="243"/>
      <c r="D17" s="243"/>
      <c r="E17" s="244"/>
      <c r="F17" s="219" t="s">
        <v>96</v>
      </c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20"/>
      <c r="BQ17" s="248" t="s">
        <v>104</v>
      </c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50"/>
      <c r="CP17" s="248">
        <v>13322</v>
      </c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50"/>
      <c r="DD17" s="248">
        <v>13322</v>
      </c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50"/>
      <c r="DR17" s="213">
        <f>13321.8352-54.75</f>
        <v>13267.0852</v>
      </c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5"/>
      <c r="EE17" s="213">
        <f>DR17-58.59</f>
        <v>13208.495199999999</v>
      </c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5"/>
      <c r="ER17" s="213">
        <f>EE17-55.05</f>
        <v>13153.4452</v>
      </c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5"/>
      <c r="FE17" s="213">
        <f>ER17-57.75</f>
        <v>13095.6952</v>
      </c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5"/>
      <c r="FR17" s="213">
        <f>FE17-57.86</f>
        <v>13037.8352</v>
      </c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5"/>
      <c r="GE17" s="213">
        <f>FR17-57.86</f>
        <v>12979.975199999999</v>
      </c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5"/>
      <c r="GR17" s="213">
        <f>GE17-66.9</f>
        <v>12913.075199999999</v>
      </c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5"/>
      <c r="HE17" s="213">
        <f>GR17-102.98</f>
        <v>12810.0952</v>
      </c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5"/>
      <c r="HR17" s="213">
        <f>HE17-84.25</f>
        <v>12725.8452</v>
      </c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5"/>
      <c r="IE17" s="213">
        <f>HR17-64.98</f>
        <v>12660.8652</v>
      </c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5"/>
      <c r="IR17" s="39"/>
    </row>
    <row r="18" spans="1:252" s="10" customFormat="1" ht="27" customHeight="1" x14ac:dyDescent="0.2">
      <c r="A18" s="245"/>
      <c r="B18" s="246"/>
      <c r="C18" s="246"/>
      <c r="D18" s="246"/>
      <c r="E18" s="247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2"/>
      <c r="BQ18" s="251" t="s">
        <v>105</v>
      </c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3"/>
      <c r="CP18" s="291">
        <f>CP17/56925*100</f>
        <v>23.402722880983752</v>
      </c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3"/>
      <c r="DD18" s="291">
        <f>DD17/56925*100</f>
        <v>23.402722880983752</v>
      </c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3"/>
      <c r="DR18" s="294">
        <f>DR17/56925*100</f>
        <v>23.306254194115063</v>
      </c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6"/>
      <c r="EE18" s="291">
        <f>EE17/56925*100</f>
        <v>23.203329292929293</v>
      </c>
      <c r="EF18" s="292"/>
      <c r="EG18" s="292"/>
      <c r="EH18" s="292"/>
      <c r="EI18" s="292"/>
      <c r="EJ18" s="292"/>
      <c r="EK18" s="292"/>
      <c r="EL18" s="292"/>
      <c r="EM18" s="292"/>
      <c r="EN18" s="292"/>
      <c r="EO18" s="292"/>
      <c r="EP18" s="292"/>
      <c r="EQ18" s="293"/>
      <c r="ER18" s="291">
        <f>ER17/56925*100</f>
        <v>23.106623100570928</v>
      </c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2"/>
      <c r="FD18" s="293"/>
      <c r="FE18" s="291">
        <f>FE17/56925*100</f>
        <v>23.005173825208608</v>
      </c>
      <c r="FF18" s="292"/>
      <c r="FG18" s="292"/>
      <c r="FH18" s="292"/>
      <c r="FI18" s="292"/>
      <c r="FJ18" s="292"/>
      <c r="FK18" s="292"/>
      <c r="FL18" s="292"/>
      <c r="FM18" s="292"/>
      <c r="FN18" s="292"/>
      <c r="FO18" s="292"/>
      <c r="FP18" s="292"/>
      <c r="FQ18" s="293"/>
      <c r="FR18" s="291">
        <f>FR17/56925*100</f>
        <v>22.90353131313131</v>
      </c>
      <c r="FS18" s="292"/>
      <c r="FT18" s="292"/>
      <c r="FU18" s="292"/>
      <c r="FV18" s="292"/>
      <c r="FW18" s="292"/>
      <c r="FX18" s="292"/>
      <c r="FY18" s="292"/>
      <c r="FZ18" s="292"/>
      <c r="GA18" s="292"/>
      <c r="GB18" s="292"/>
      <c r="GC18" s="292"/>
      <c r="GD18" s="293"/>
      <c r="GE18" s="291">
        <f>GE17/56925*100</f>
        <v>22.801888801054016</v>
      </c>
      <c r="GF18" s="292"/>
      <c r="GG18" s="292"/>
      <c r="GH18" s="292"/>
      <c r="GI18" s="292"/>
      <c r="GJ18" s="292"/>
      <c r="GK18" s="292"/>
      <c r="GL18" s="292"/>
      <c r="GM18" s="292"/>
      <c r="GN18" s="292"/>
      <c r="GO18" s="292"/>
      <c r="GP18" s="292"/>
      <c r="GQ18" s="293"/>
      <c r="GR18" s="291">
        <f>GR17/56925*100</f>
        <v>22.684365744400527</v>
      </c>
      <c r="GS18" s="292"/>
      <c r="GT18" s="292"/>
      <c r="GU18" s="292"/>
      <c r="GV18" s="292"/>
      <c r="GW18" s="292"/>
      <c r="GX18" s="292"/>
      <c r="GY18" s="292"/>
      <c r="GZ18" s="292"/>
      <c r="HA18" s="292"/>
      <c r="HB18" s="292"/>
      <c r="HC18" s="292"/>
      <c r="HD18" s="293"/>
      <c r="HE18" s="291">
        <f>HE17/56925*100</f>
        <v>22.503461045234957</v>
      </c>
      <c r="HF18" s="292"/>
      <c r="HG18" s="292"/>
      <c r="HH18" s="292"/>
      <c r="HI18" s="292"/>
      <c r="HJ18" s="292"/>
      <c r="HK18" s="292"/>
      <c r="HL18" s="292"/>
      <c r="HM18" s="292"/>
      <c r="HN18" s="292"/>
      <c r="HO18" s="292"/>
      <c r="HP18" s="292"/>
      <c r="HQ18" s="293"/>
      <c r="HR18" s="291">
        <f>HR17/56925*100</f>
        <v>22.355459288537549</v>
      </c>
      <c r="HS18" s="292"/>
      <c r="HT18" s="292"/>
      <c r="HU18" s="292"/>
      <c r="HV18" s="292"/>
      <c r="HW18" s="292"/>
      <c r="HX18" s="292"/>
      <c r="HY18" s="292"/>
      <c r="HZ18" s="292"/>
      <c r="IA18" s="292"/>
      <c r="IB18" s="292"/>
      <c r="IC18" s="292"/>
      <c r="ID18" s="293"/>
      <c r="IE18" s="291">
        <f>IE17/56925*100</f>
        <v>22.241309090909091</v>
      </c>
      <c r="IF18" s="292"/>
      <c r="IG18" s="292"/>
      <c r="IH18" s="292"/>
      <c r="II18" s="292"/>
      <c r="IJ18" s="292"/>
      <c r="IK18" s="292"/>
      <c r="IL18" s="292"/>
      <c r="IM18" s="292"/>
      <c r="IN18" s="292"/>
      <c r="IO18" s="292"/>
      <c r="IP18" s="292"/>
      <c r="IQ18" s="293"/>
      <c r="IR18" s="1"/>
    </row>
    <row r="19" spans="1:252" s="10" customFormat="1" ht="13.5" customHeight="1" x14ac:dyDescent="0.2">
      <c r="A19" s="242">
        <v>6</v>
      </c>
      <c r="B19" s="243"/>
      <c r="C19" s="243"/>
      <c r="D19" s="243"/>
      <c r="E19" s="244"/>
      <c r="F19" s="219" t="s">
        <v>95</v>
      </c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20"/>
      <c r="BQ19" s="205" t="s">
        <v>106</v>
      </c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7"/>
      <c r="CP19" s="248">
        <v>14505</v>
      </c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50"/>
      <c r="DD19" s="248">
        <v>14505</v>
      </c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50"/>
      <c r="DR19" s="213">
        <v>14505</v>
      </c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5"/>
      <c r="EE19" s="213">
        <v>14505</v>
      </c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5"/>
      <c r="ER19" s="213">
        <v>14505</v>
      </c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5"/>
      <c r="FE19" s="213">
        <v>14505</v>
      </c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5"/>
      <c r="FR19" s="213">
        <v>14505</v>
      </c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5"/>
      <c r="GE19" s="213">
        <v>14505</v>
      </c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5"/>
      <c r="GR19" s="213">
        <v>14505</v>
      </c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5"/>
      <c r="HE19" s="213">
        <v>14505</v>
      </c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5"/>
      <c r="HR19" s="213">
        <v>14505</v>
      </c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5"/>
      <c r="IE19" s="213">
        <v>14505</v>
      </c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5"/>
      <c r="IR19" s="1"/>
    </row>
    <row r="20" spans="1:252" s="10" customFormat="1" ht="13.5" customHeight="1" x14ac:dyDescent="0.2">
      <c r="A20" s="245"/>
      <c r="B20" s="246"/>
      <c r="C20" s="246"/>
      <c r="D20" s="246"/>
      <c r="E20" s="247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2"/>
      <c r="BQ20" s="205" t="s">
        <v>107</v>
      </c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7"/>
      <c r="CP20" s="205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7"/>
      <c r="DD20" s="205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7"/>
      <c r="DR20" s="208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10"/>
      <c r="EE20" s="208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10"/>
      <c r="ER20" s="208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  <c r="FC20" s="209"/>
      <c r="FD20" s="210"/>
      <c r="FE20" s="208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10"/>
      <c r="FR20" s="208"/>
      <c r="FS20" s="209"/>
      <c r="FT20" s="209"/>
      <c r="FU20" s="209"/>
      <c r="FV20" s="209"/>
      <c r="FW20" s="209"/>
      <c r="FX20" s="209"/>
      <c r="FY20" s="209"/>
      <c r="FZ20" s="209"/>
      <c r="GA20" s="209"/>
      <c r="GB20" s="209"/>
      <c r="GC20" s="209"/>
      <c r="GD20" s="210"/>
      <c r="GE20" s="208"/>
      <c r="GF20" s="209"/>
      <c r="GG20" s="209"/>
      <c r="GH20" s="209"/>
      <c r="GI20" s="209"/>
      <c r="GJ20" s="209"/>
      <c r="GK20" s="209"/>
      <c r="GL20" s="209"/>
      <c r="GM20" s="209"/>
      <c r="GN20" s="209"/>
      <c r="GO20" s="209"/>
      <c r="GP20" s="209"/>
      <c r="GQ20" s="210"/>
      <c r="GR20" s="208"/>
      <c r="GS20" s="209"/>
      <c r="GT20" s="209"/>
      <c r="GU20" s="209"/>
      <c r="GV20" s="209"/>
      <c r="GW20" s="209"/>
      <c r="GX20" s="209"/>
      <c r="GY20" s="209"/>
      <c r="GZ20" s="209"/>
      <c r="HA20" s="209"/>
      <c r="HB20" s="209"/>
      <c r="HC20" s="209"/>
      <c r="HD20" s="210"/>
      <c r="HE20" s="208"/>
      <c r="HF20" s="209"/>
      <c r="HG20" s="209"/>
      <c r="HH20" s="209"/>
      <c r="HI20" s="209"/>
      <c r="HJ20" s="209"/>
      <c r="HK20" s="209"/>
      <c r="HL20" s="209"/>
      <c r="HM20" s="209"/>
      <c r="HN20" s="209"/>
      <c r="HO20" s="209"/>
      <c r="HP20" s="209"/>
      <c r="HQ20" s="210"/>
      <c r="HR20" s="208"/>
      <c r="HS20" s="209"/>
      <c r="HT20" s="209"/>
      <c r="HU20" s="209"/>
      <c r="HV20" s="209"/>
      <c r="HW20" s="209"/>
      <c r="HX20" s="209"/>
      <c r="HY20" s="209"/>
      <c r="HZ20" s="209"/>
      <c r="IA20" s="209"/>
      <c r="IB20" s="209"/>
      <c r="IC20" s="209"/>
      <c r="ID20" s="210"/>
      <c r="IE20" s="208"/>
      <c r="IF20" s="209"/>
      <c r="IG20" s="209"/>
      <c r="IH20" s="209"/>
      <c r="II20" s="209"/>
      <c r="IJ20" s="209"/>
      <c r="IK20" s="209"/>
      <c r="IL20" s="209"/>
      <c r="IM20" s="209"/>
      <c r="IN20" s="209"/>
      <c r="IO20" s="209"/>
      <c r="IP20" s="209"/>
      <c r="IQ20" s="210"/>
      <c r="IR20" s="1"/>
    </row>
    <row r="21" spans="1:252" s="10" customFormat="1" ht="127.5" customHeight="1" x14ac:dyDescent="0.2">
      <c r="A21" s="239">
        <v>7</v>
      </c>
      <c r="B21" s="240"/>
      <c r="C21" s="240"/>
      <c r="D21" s="240"/>
      <c r="E21" s="241"/>
      <c r="F21" s="237" t="s">
        <v>199</v>
      </c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8"/>
      <c r="BQ21" s="205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7"/>
      <c r="CP21" s="205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7"/>
      <c r="DD21" s="205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7"/>
      <c r="DR21" s="208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10"/>
      <c r="EE21" s="208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10"/>
      <c r="ER21" s="208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10"/>
      <c r="FE21" s="208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10"/>
      <c r="FR21" s="208"/>
      <c r="FS21" s="209"/>
      <c r="FT21" s="209"/>
      <c r="FU21" s="209"/>
      <c r="FV21" s="209"/>
      <c r="FW21" s="209"/>
      <c r="FX21" s="209"/>
      <c r="FY21" s="209"/>
      <c r="FZ21" s="209"/>
      <c r="GA21" s="209"/>
      <c r="GB21" s="209"/>
      <c r="GC21" s="209"/>
      <c r="GD21" s="210"/>
      <c r="GE21" s="208"/>
      <c r="GF21" s="209"/>
      <c r="GG21" s="209"/>
      <c r="GH21" s="209"/>
      <c r="GI21" s="209"/>
      <c r="GJ21" s="209"/>
      <c r="GK21" s="209"/>
      <c r="GL21" s="209"/>
      <c r="GM21" s="209"/>
      <c r="GN21" s="209"/>
      <c r="GO21" s="209"/>
      <c r="GP21" s="209"/>
      <c r="GQ21" s="210"/>
      <c r="GR21" s="208"/>
      <c r="GS21" s="209"/>
      <c r="GT21" s="209"/>
      <c r="GU21" s="209"/>
      <c r="GV21" s="209"/>
      <c r="GW21" s="209"/>
      <c r="GX21" s="209"/>
      <c r="GY21" s="209"/>
      <c r="GZ21" s="209"/>
      <c r="HA21" s="209"/>
      <c r="HB21" s="209"/>
      <c r="HC21" s="209"/>
      <c r="HD21" s="210"/>
      <c r="HE21" s="208"/>
      <c r="HF21" s="209"/>
      <c r="HG21" s="209"/>
      <c r="HH21" s="209"/>
      <c r="HI21" s="209"/>
      <c r="HJ21" s="209"/>
      <c r="HK21" s="209"/>
      <c r="HL21" s="209"/>
      <c r="HM21" s="209"/>
      <c r="HN21" s="209"/>
      <c r="HO21" s="209"/>
      <c r="HP21" s="209"/>
      <c r="HQ21" s="210"/>
      <c r="HR21" s="208"/>
      <c r="HS21" s="209"/>
      <c r="HT21" s="209"/>
      <c r="HU21" s="209"/>
      <c r="HV21" s="209"/>
      <c r="HW21" s="209"/>
      <c r="HX21" s="209"/>
      <c r="HY21" s="209"/>
      <c r="HZ21" s="209"/>
      <c r="IA21" s="209"/>
      <c r="IB21" s="209"/>
      <c r="IC21" s="209"/>
      <c r="ID21" s="210"/>
      <c r="IE21" s="208"/>
      <c r="IF21" s="209"/>
      <c r="IG21" s="209"/>
      <c r="IH21" s="209"/>
      <c r="II21" s="209"/>
      <c r="IJ21" s="209"/>
      <c r="IK21" s="209"/>
      <c r="IL21" s="209"/>
      <c r="IM21" s="209"/>
      <c r="IN21" s="209"/>
      <c r="IO21" s="209"/>
      <c r="IP21" s="209"/>
      <c r="IQ21" s="210"/>
      <c r="IR21" s="1"/>
    </row>
    <row r="22" spans="1:252" s="10" customFormat="1" ht="42" customHeight="1" x14ac:dyDescent="0.2"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</row>
    <row r="23" spans="1:252" s="7" customFormat="1" ht="14.25" customHeight="1" x14ac:dyDescent="0.2">
      <c r="B23" s="211" t="s">
        <v>268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DO23" s="212" t="s">
        <v>269</v>
      </c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</row>
    <row r="24" spans="1:252" s="7" customFormat="1" ht="24" customHeight="1" x14ac:dyDescent="0.2">
      <c r="E24" s="17" t="s">
        <v>17</v>
      </c>
      <c r="F24" s="8"/>
      <c r="G24" s="8"/>
      <c r="H24" s="8"/>
      <c r="I24" s="8"/>
      <c r="J24" s="20"/>
      <c r="K24" s="8"/>
      <c r="L24" s="8"/>
      <c r="M24" s="8"/>
      <c r="N24" s="8"/>
      <c r="O24" s="19"/>
      <c r="P24" s="8"/>
      <c r="Q24" s="8"/>
      <c r="R24" s="8"/>
      <c r="W24" s="21"/>
      <c r="Z24" s="21"/>
      <c r="AD24" s="21"/>
      <c r="AF24" s="18"/>
      <c r="AG24" s="18"/>
    </row>
  </sheetData>
  <mergeCells count="194">
    <mergeCell ref="A11:E12"/>
    <mergeCell ref="A13:E14"/>
    <mergeCell ref="GR19:HD19"/>
    <mergeCell ref="F11:BP12"/>
    <mergeCell ref="GR12:HD12"/>
    <mergeCell ref="CP18:DC18"/>
    <mergeCell ref="DD18:DQ18"/>
    <mergeCell ref="EE16:EQ16"/>
    <mergeCell ref="ER16:FD16"/>
    <mergeCell ref="BQ15:CO15"/>
    <mergeCell ref="BQ16:CO16"/>
    <mergeCell ref="BQ17:CO17"/>
    <mergeCell ref="BQ18:CO18"/>
    <mergeCell ref="EE17:EQ17"/>
    <mergeCell ref="ER17:FD17"/>
    <mergeCell ref="EE18:EQ18"/>
    <mergeCell ref="ER18:FD18"/>
    <mergeCell ref="F16:BP16"/>
    <mergeCell ref="F15:BP15"/>
    <mergeCell ref="F17:BP18"/>
    <mergeCell ref="BQ12:CO12"/>
    <mergeCell ref="CP12:DC12"/>
    <mergeCell ref="FE12:FQ12"/>
    <mergeCell ref="CP11:DC11"/>
    <mergeCell ref="EE21:EQ21"/>
    <mergeCell ref="ER21:FD21"/>
    <mergeCell ref="DD11:DQ11"/>
    <mergeCell ref="BQ19:CO19"/>
    <mergeCell ref="BQ20:CO20"/>
    <mergeCell ref="DD21:DQ21"/>
    <mergeCell ref="DD20:DQ20"/>
    <mergeCell ref="DD19:DQ19"/>
    <mergeCell ref="EE19:EQ19"/>
    <mergeCell ref="ER19:FD19"/>
    <mergeCell ref="EE20:EQ20"/>
    <mergeCell ref="ER20:FD20"/>
    <mergeCell ref="DR18:ED18"/>
    <mergeCell ref="DR19:ED19"/>
    <mergeCell ref="DR20:ED20"/>
    <mergeCell ref="DR21:ED21"/>
    <mergeCell ref="DR16:ED16"/>
    <mergeCell ref="DR17:ED17"/>
    <mergeCell ref="CP14:DC14"/>
    <mergeCell ref="DD17:DQ17"/>
    <mergeCell ref="DD16:DQ16"/>
    <mergeCell ref="BQ14:CO14"/>
    <mergeCell ref="F21:BP21"/>
    <mergeCell ref="CP21:DC21"/>
    <mergeCell ref="A15:E15"/>
    <mergeCell ref="A16:E16"/>
    <mergeCell ref="A17:E18"/>
    <mergeCell ref="A19:E20"/>
    <mergeCell ref="BQ21:CO21"/>
    <mergeCell ref="CP19:DC19"/>
    <mergeCell ref="CP20:DC20"/>
    <mergeCell ref="F19:BP20"/>
    <mergeCell ref="A21:E21"/>
    <mergeCell ref="CP17:DC17"/>
    <mergeCell ref="CP15:DC15"/>
    <mergeCell ref="CP16:DC16"/>
    <mergeCell ref="DD7:DQ9"/>
    <mergeCell ref="CP10:DC10"/>
    <mergeCell ref="EE9:EQ9"/>
    <mergeCell ref="EE14:EQ14"/>
    <mergeCell ref="ER14:FD14"/>
    <mergeCell ref="EE15:EQ15"/>
    <mergeCell ref="ER15:FD15"/>
    <mergeCell ref="DR12:ED12"/>
    <mergeCell ref="EE12:EQ12"/>
    <mergeCell ref="ER12:FD12"/>
    <mergeCell ref="DD10:DQ10"/>
    <mergeCell ref="DD12:DQ12"/>
    <mergeCell ref="ER9:FD9"/>
    <mergeCell ref="EE10:EQ10"/>
    <mergeCell ref="ER10:FD10"/>
    <mergeCell ref="DR14:ED14"/>
    <mergeCell ref="DR15:ED15"/>
    <mergeCell ref="DR11:ED11"/>
    <mergeCell ref="DR13:ED13"/>
    <mergeCell ref="DD14:DQ14"/>
    <mergeCell ref="DD15:DQ15"/>
    <mergeCell ref="DR7:IQ7"/>
    <mergeCell ref="DR8:IQ8"/>
    <mergeCell ref="FE9:FQ9"/>
    <mergeCell ref="IE17:IQ17"/>
    <mergeCell ref="IE18:IQ18"/>
    <mergeCell ref="IE12:IQ12"/>
    <mergeCell ref="A3:FD3"/>
    <mergeCell ref="A10:E10"/>
    <mergeCell ref="DR9:ED9"/>
    <mergeCell ref="DR10:ED10"/>
    <mergeCell ref="EE11:EQ11"/>
    <mergeCell ref="ER11:FD11"/>
    <mergeCell ref="EE13:EQ13"/>
    <mergeCell ref="ER13:FD13"/>
    <mergeCell ref="F13:BP14"/>
    <mergeCell ref="CP13:DC13"/>
    <mergeCell ref="DD13:DQ13"/>
    <mergeCell ref="AK4:DS4"/>
    <mergeCell ref="AK5:DS5"/>
    <mergeCell ref="BQ10:CO10"/>
    <mergeCell ref="A7:E9"/>
    <mergeCell ref="F10:BP10"/>
    <mergeCell ref="F7:BP9"/>
    <mergeCell ref="BQ7:CO9"/>
    <mergeCell ref="BQ11:CO11"/>
    <mergeCell ref="BQ13:CO13"/>
    <mergeCell ref="CP7:DC9"/>
    <mergeCell ref="HE21:HQ21"/>
    <mergeCell ref="HR9:ID9"/>
    <mergeCell ref="HR10:ID10"/>
    <mergeCell ref="HR11:ID11"/>
    <mergeCell ref="HR13:ID13"/>
    <mergeCell ref="HR14:ID14"/>
    <mergeCell ref="HR15:ID15"/>
    <mergeCell ref="HR16:ID16"/>
    <mergeCell ref="HR17:ID17"/>
    <mergeCell ref="HR18:ID18"/>
    <mergeCell ref="HE12:HQ12"/>
    <mergeCell ref="HR12:ID12"/>
    <mergeCell ref="HE17:HQ17"/>
    <mergeCell ref="HE18:HQ18"/>
    <mergeCell ref="HE19:HQ19"/>
    <mergeCell ref="HE20:HQ20"/>
    <mergeCell ref="IE19:IQ19"/>
    <mergeCell ref="IE20:IQ20"/>
    <mergeCell ref="IE21:IQ21"/>
    <mergeCell ref="HR19:ID19"/>
    <mergeCell ref="HR20:ID20"/>
    <mergeCell ref="HR21:ID21"/>
    <mergeCell ref="GR20:HD20"/>
    <mergeCell ref="GR21:HD21"/>
    <mergeCell ref="HE9:HQ9"/>
    <mergeCell ref="HE10:HQ10"/>
    <mergeCell ref="HE11:HQ11"/>
    <mergeCell ref="HE13:HQ13"/>
    <mergeCell ref="HE14:HQ14"/>
    <mergeCell ref="GR9:HD9"/>
    <mergeCell ref="GR10:HD10"/>
    <mergeCell ref="GR11:HD11"/>
    <mergeCell ref="GR13:HD13"/>
    <mergeCell ref="GR14:HD14"/>
    <mergeCell ref="GR15:HD15"/>
    <mergeCell ref="GR16:HD16"/>
    <mergeCell ref="GR17:HD17"/>
    <mergeCell ref="GR18:HD18"/>
    <mergeCell ref="HE15:HQ15"/>
    <mergeCell ref="HE16:HQ16"/>
    <mergeCell ref="FR20:GD20"/>
    <mergeCell ref="FR21:GD21"/>
    <mergeCell ref="FR12:GD12"/>
    <mergeCell ref="GE12:GQ12"/>
    <mergeCell ref="B23:CM23"/>
    <mergeCell ref="DO23:EW23"/>
    <mergeCell ref="FE19:FQ19"/>
    <mergeCell ref="FE20:FQ20"/>
    <mergeCell ref="FE21:FQ21"/>
    <mergeCell ref="FE17:FQ17"/>
    <mergeCell ref="FE18:FQ18"/>
    <mergeCell ref="GE19:GQ19"/>
    <mergeCell ref="GE20:GQ20"/>
    <mergeCell ref="GE21:GQ21"/>
    <mergeCell ref="GE17:GQ17"/>
    <mergeCell ref="GE18:GQ18"/>
    <mergeCell ref="FR13:GD13"/>
    <mergeCell ref="FR14:GD14"/>
    <mergeCell ref="FR15:GD15"/>
    <mergeCell ref="FR16:GD16"/>
    <mergeCell ref="FR17:GD17"/>
    <mergeCell ref="FR18:GD18"/>
    <mergeCell ref="FR19:GD19"/>
    <mergeCell ref="GE13:GQ13"/>
    <mergeCell ref="FE10:FQ10"/>
    <mergeCell ref="FE11:FQ11"/>
    <mergeCell ref="FE13:FQ13"/>
    <mergeCell ref="FE14:FQ14"/>
    <mergeCell ref="FE15:FQ15"/>
    <mergeCell ref="FE16:FQ16"/>
    <mergeCell ref="FR9:GD9"/>
    <mergeCell ref="FR10:GD10"/>
    <mergeCell ref="FR11:GD11"/>
    <mergeCell ref="GE9:GQ9"/>
    <mergeCell ref="GE10:GQ10"/>
    <mergeCell ref="GE11:GQ11"/>
    <mergeCell ref="GE14:GQ14"/>
    <mergeCell ref="GE15:GQ15"/>
    <mergeCell ref="GE16:GQ16"/>
    <mergeCell ref="IE9:IQ9"/>
    <mergeCell ref="IE10:IQ10"/>
    <mergeCell ref="IE11:IQ11"/>
    <mergeCell ref="IE13:IQ13"/>
    <mergeCell ref="IE14:IQ14"/>
    <mergeCell ref="IE15:IQ15"/>
    <mergeCell ref="IE16:IQ16"/>
  </mergeCells>
  <phoneticPr fontId="1" type="noConversion"/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E15"/>
  <sheetViews>
    <sheetView view="pageBreakPreview" topLeftCell="R1" zoomScaleNormal="100" zoomScaleSheetLayoutView="100" workbookViewId="0">
      <selection activeCell="AG13" sqref="AG13"/>
    </sheetView>
  </sheetViews>
  <sheetFormatPr defaultColWidth="0.85546875" defaultRowHeight="15.75" customHeight="1" x14ac:dyDescent="0.25"/>
  <cols>
    <col min="1" max="1" width="3.85546875" style="5" customWidth="1"/>
    <col min="2" max="2" width="17.85546875" style="5" bestFit="1" customWidth="1"/>
    <col min="3" max="3" width="9" style="5" bestFit="1" customWidth="1"/>
    <col min="4" max="13" width="5" style="5" bestFit="1" customWidth="1"/>
    <col min="14" max="14" width="9" style="5" bestFit="1" customWidth="1"/>
    <col min="15" max="24" width="5" style="5" bestFit="1" customWidth="1"/>
    <col min="25" max="25" width="9" style="5" bestFit="1" customWidth="1"/>
    <col min="26" max="35" width="5" style="5" bestFit="1" customWidth="1"/>
    <col min="36" max="36" width="9" style="5" bestFit="1" customWidth="1"/>
    <col min="37" max="46" width="5" style="5" bestFit="1" customWidth="1"/>
    <col min="47" max="47" width="8.7109375" style="5" customWidth="1"/>
    <col min="48" max="57" width="7.28515625" style="5" bestFit="1" customWidth="1"/>
    <col min="58" max="16384" width="0.85546875" style="5"/>
  </cols>
  <sheetData>
    <row r="1" spans="1:57" ht="15.75" customHeight="1" x14ac:dyDescent="0.25">
      <c r="BC1" s="255" t="s">
        <v>112</v>
      </c>
      <c r="BD1" s="255"/>
    </row>
    <row r="2" spans="1:57" ht="12" customHeight="1" x14ac:dyDescent="0.25"/>
    <row r="3" spans="1:57" s="9" customFormat="1" ht="33" customHeight="1" x14ac:dyDescent="0.25">
      <c r="A3" s="144" t="s">
        <v>294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</row>
    <row r="4" spans="1:57" ht="15.75" customHeight="1" x14ac:dyDescent="0.25">
      <c r="A4" s="124" t="s">
        <v>295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</row>
    <row r="5" spans="1:57" s="3" customFormat="1" ht="13.5" customHeight="1" x14ac:dyDescent="0.2">
      <c r="A5" s="143" t="s">
        <v>296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</row>
    <row r="6" spans="1:57" ht="9" customHeight="1" x14ac:dyDescent="0.25"/>
    <row r="7" spans="1:57" s="47" customFormat="1" ht="13.5" customHeight="1" x14ac:dyDescent="0.2">
      <c r="A7" s="259" t="s">
        <v>21</v>
      </c>
      <c r="B7" s="259" t="s">
        <v>130</v>
      </c>
      <c r="C7" s="262" t="s">
        <v>129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2" t="s">
        <v>128</v>
      </c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4"/>
    </row>
    <row r="8" spans="1:57" s="48" customFormat="1" ht="124.5" customHeight="1" x14ac:dyDescent="0.2">
      <c r="A8" s="260"/>
      <c r="B8" s="260"/>
      <c r="C8" s="256" t="s">
        <v>291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6" t="s">
        <v>132</v>
      </c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6" t="s">
        <v>289</v>
      </c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6" t="s">
        <v>288</v>
      </c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6" t="s">
        <v>290</v>
      </c>
      <c r="AV8" s="257"/>
      <c r="AW8" s="257"/>
      <c r="AX8" s="257"/>
      <c r="AY8" s="257"/>
      <c r="AZ8" s="257"/>
      <c r="BA8" s="257"/>
      <c r="BB8" s="257"/>
      <c r="BC8" s="257"/>
      <c r="BD8" s="257"/>
      <c r="BE8" s="258"/>
    </row>
    <row r="9" spans="1:57" s="48" customFormat="1" ht="34.5" customHeight="1" x14ac:dyDescent="0.2">
      <c r="A9" s="260"/>
      <c r="B9" s="260"/>
      <c r="C9" s="259" t="s">
        <v>109</v>
      </c>
      <c r="D9" s="256" t="s">
        <v>113</v>
      </c>
      <c r="E9" s="257"/>
      <c r="F9" s="257"/>
      <c r="G9" s="257"/>
      <c r="H9" s="257"/>
      <c r="I9" s="257"/>
      <c r="J9" s="257"/>
      <c r="K9" s="257"/>
      <c r="L9" s="257"/>
      <c r="M9" s="257"/>
      <c r="N9" s="259" t="s">
        <v>109</v>
      </c>
      <c r="O9" s="256" t="s">
        <v>113</v>
      </c>
      <c r="P9" s="257"/>
      <c r="Q9" s="257"/>
      <c r="R9" s="257"/>
      <c r="S9" s="257"/>
      <c r="T9" s="257"/>
      <c r="U9" s="257"/>
      <c r="V9" s="257"/>
      <c r="W9" s="257"/>
      <c r="X9" s="257"/>
      <c r="Y9" s="259" t="s">
        <v>109</v>
      </c>
      <c r="Z9" s="256" t="s">
        <v>113</v>
      </c>
      <c r="AA9" s="257"/>
      <c r="AB9" s="257"/>
      <c r="AC9" s="257"/>
      <c r="AD9" s="257"/>
      <c r="AE9" s="257"/>
      <c r="AF9" s="257"/>
      <c r="AG9" s="257"/>
      <c r="AH9" s="257"/>
      <c r="AI9" s="257"/>
      <c r="AJ9" s="259" t="s">
        <v>109</v>
      </c>
      <c r="AK9" s="256" t="s">
        <v>113</v>
      </c>
      <c r="AL9" s="257"/>
      <c r="AM9" s="257"/>
      <c r="AN9" s="257"/>
      <c r="AO9" s="257"/>
      <c r="AP9" s="257"/>
      <c r="AQ9" s="257"/>
      <c r="AR9" s="257"/>
      <c r="AS9" s="257"/>
      <c r="AT9" s="257"/>
      <c r="AU9" s="259" t="s">
        <v>109</v>
      </c>
      <c r="AV9" s="256" t="s">
        <v>113</v>
      </c>
      <c r="AW9" s="257"/>
      <c r="AX9" s="257"/>
      <c r="AY9" s="257"/>
      <c r="AZ9" s="257"/>
      <c r="BA9" s="257"/>
      <c r="BB9" s="257"/>
      <c r="BC9" s="257"/>
      <c r="BD9" s="257"/>
      <c r="BE9" s="258"/>
    </row>
    <row r="10" spans="1:57" s="48" customFormat="1" ht="17.25" customHeight="1" x14ac:dyDescent="0.2">
      <c r="A10" s="261"/>
      <c r="B10" s="261"/>
      <c r="C10" s="261"/>
      <c r="D10" s="50">
        <v>2024</v>
      </c>
      <c r="E10" s="50">
        <v>2025</v>
      </c>
      <c r="F10" s="50">
        <v>2026</v>
      </c>
      <c r="G10" s="50">
        <v>2027</v>
      </c>
      <c r="H10" s="50">
        <v>2028</v>
      </c>
      <c r="I10" s="50">
        <v>2029</v>
      </c>
      <c r="J10" s="50">
        <v>2030</v>
      </c>
      <c r="K10" s="50">
        <v>2031</v>
      </c>
      <c r="L10" s="50">
        <v>2032</v>
      </c>
      <c r="M10" s="50">
        <v>2033</v>
      </c>
      <c r="N10" s="261"/>
      <c r="O10" s="50">
        <v>2024</v>
      </c>
      <c r="P10" s="50">
        <v>2025</v>
      </c>
      <c r="Q10" s="50">
        <v>2026</v>
      </c>
      <c r="R10" s="50">
        <v>2027</v>
      </c>
      <c r="S10" s="50">
        <v>2028</v>
      </c>
      <c r="T10" s="50">
        <v>2029</v>
      </c>
      <c r="U10" s="50">
        <v>2030</v>
      </c>
      <c r="V10" s="50">
        <v>2031</v>
      </c>
      <c r="W10" s="50">
        <v>2032</v>
      </c>
      <c r="X10" s="50">
        <v>2033</v>
      </c>
      <c r="Y10" s="261"/>
      <c r="Z10" s="50">
        <v>2024</v>
      </c>
      <c r="AA10" s="50">
        <v>2025</v>
      </c>
      <c r="AB10" s="50">
        <v>2026</v>
      </c>
      <c r="AC10" s="50">
        <v>2027</v>
      </c>
      <c r="AD10" s="50">
        <v>2028</v>
      </c>
      <c r="AE10" s="50">
        <v>2029</v>
      </c>
      <c r="AF10" s="50">
        <v>2030</v>
      </c>
      <c r="AG10" s="50">
        <v>2031</v>
      </c>
      <c r="AH10" s="50">
        <v>2032</v>
      </c>
      <c r="AI10" s="50">
        <v>2033</v>
      </c>
      <c r="AJ10" s="261"/>
      <c r="AK10" s="50">
        <v>2024</v>
      </c>
      <c r="AL10" s="50">
        <v>2025</v>
      </c>
      <c r="AM10" s="50">
        <v>2026</v>
      </c>
      <c r="AN10" s="50">
        <v>2027</v>
      </c>
      <c r="AO10" s="50">
        <v>2028</v>
      </c>
      <c r="AP10" s="50">
        <v>2029</v>
      </c>
      <c r="AQ10" s="50">
        <v>2030</v>
      </c>
      <c r="AR10" s="50">
        <v>2031</v>
      </c>
      <c r="AS10" s="50">
        <v>2032</v>
      </c>
      <c r="AT10" s="50">
        <v>2033</v>
      </c>
      <c r="AU10" s="261"/>
      <c r="AV10" s="50">
        <v>2024</v>
      </c>
      <c r="AW10" s="50">
        <v>2025</v>
      </c>
      <c r="AX10" s="50">
        <v>2026</v>
      </c>
      <c r="AY10" s="50">
        <v>2027</v>
      </c>
      <c r="AZ10" s="50">
        <v>2028</v>
      </c>
      <c r="BA10" s="50">
        <v>2029</v>
      </c>
      <c r="BB10" s="50">
        <v>2030</v>
      </c>
      <c r="BC10" s="50">
        <v>2031</v>
      </c>
      <c r="BD10" s="50">
        <v>2032</v>
      </c>
      <c r="BE10" s="121">
        <v>2033</v>
      </c>
    </row>
    <row r="11" spans="1:57" s="49" customFormat="1" ht="13.5" customHeight="1" x14ac:dyDescent="0.2">
      <c r="A11" s="51">
        <v>1</v>
      </c>
      <c r="B11" s="51" t="s">
        <v>27</v>
      </c>
      <c r="C11" s="51" t="s">
        <v>28</v>
      </c>
      <c r="D11" s="51" t="s">
        <v>29</v>
      </c>
      <c r="E11" s="51" t="s">
        <v>30</v>
      </c>
      <c r="F11" s="51" t="s">
        <v>125</v>
      </c>
      <c r="G11" s="51" t="s">
        <v>126</v>
      </c>
      <c r="H11" s="51" t="s">
        <v>46</v>
      </c>
      <c r="I11" s="51" t="s">
        <v>47</v>
      </c>
      <c r="J11" s="51" t="s">
        <v>127</v>
      </c>
      <c r="K11" s="51" t="s">
        <v>120</v>
      </c>
      <c r="L11" s="51" t="s">
        <v>121</v>
      </c>
      <c r="M11" s="51" t="s">
        <v>122</v>
      </c>
      <c r="N11" s="51" t="s">
        <v>123</v>
      </c>
      <c r="O11" s="51" t="s">
        <v>115</v>
      </c>
      <c r="P11" s="51" t="s">
        <v>116</v>
      </c>
      <c r="Q11" s="51" t="s">
        <v>117</v>
      </c>
      <c r="R11" s="51" t="s">
        <v>114</v>
      </c>
      <c r="S11" s="51" t="s">
        <v>215</v>
      </c>
      <c r="T11" s="51" t="s">
        <v>216</v>
      </c>
      <c r="U11" s="51" t="s">
        <v>217</v>
      </c>
      <c r="V11" s="51" t="s">
        <v>218</v>
      </c>
      <c r="W11" s="51" t="s">
        <v>219</v>
      </c>
      <c r="X11" s="51" t="s">
        <v>220</v>
      </c>
      <c r="Y11" s="51" t="s">
        <v>221</v>
      </c>
      <c r="Z11" s="51" t="s">
        <v>223</v>
      </c>
      <c r="AA11" s="51" t="s">
        <v>224</v>
      </c>
      <c r="AB11" s="51" t="s">
        <v>225</v>
      </c>
      <c r="AC11" s="51" t="s">
        <v>226</v>
      </c>
      <c r="AD11" s="51" t="s">
        <v>227</v>
      </c>
      <c r="AE11" s="51" t="s">
        <v>228</v>
      </c>
      <c r="AF11" s="51" t="s">
        <v>229</v>
      </c>
      <c r="AG11" s="51" t="s">
        <v>230</v>
      </c>
      <c r="AH11" s="51" t="s">
        <v>231</v>
      </c>
      <c r="AI11" s="51" t="s">
        <v>232</v>
      </c>
      <c r="AJ11" s="51" t="s">
        <v>233</v>
      </c>
      <c r="AK11" s="51" t="s">
        <v>234</v>
      </c>
      <c r="AL11" s="51" t="s">
        <v>235</v>
      </c>
      <c r="AM11" s="51" t="s">
        <v>236</v>
      </c>
      <c r="AN11" s="51" t="s">
        <v>237</v>
      </c>
      <c r="AO11" s="51" t="s">
        <v>238</v>
      </c>
      <c r="AP11" s="51" t="s">
        <v>239</v>
      </c>
      <c r="AQ11" s="51" t="s">
        <v>240</v>
      </c>
      <c r="AR11" s="51" t="s">
        <v>241</v>
      </c>
      <c r="AS11" s="51" t="s">
        <v>242</v>
      </c>
      <c r="AT11" s="51" t="s">
        <v>243</v>
      </c>
      <c r="AU11" s="51" t="s">
        <v>244</v>
      </c>
      <c r="AV11" s="51" t="s">
        <v>245</v>
      </c>
      <c r="AW11" s="51" t="s">
        <v>246</v>
      </c>
      <c r="AX11" s="51" t="s">
        <v>247</v>
      </c>
      <c r="AY11" s="51" t="s">
        <v>248</v>
      </c>
      <c r="AZ11" s="51" t="s">
        <v>249</v>
      </c>
      <c r="BA11" s="51" t="s">
        <v>250</v>
      </c>
      <c r="BB11" s="51" t="s">
        <v>251</v>
      </c>
      <c r="BC11" s="51" t="s">
        <v>252</v>
      </c>
      <c r="BD11" s="51" t="s">
        <v>253</v>
      </c>
      <c r="BE11" s="122" t="s">
        <v>254</v>
      </c>
    </row>
    <row r="12" spans="1:57" s="61" customFormat="1" ht="89.25" customHeight="1" x14ac:dyDescent="0.2">
      <c r="A12" s="53" t="s">
        <v>26</v>
      </c>
      <c r="B12" s="54" t="s">
        <v>283</v>
      </c>
      <c r="C12" s="55">
        <v>1.78</v>
      </c>
      <c r="D12" s="56">
        <v>1.77</v>
      </c>
      <c r="E12" s="56">
        <v>1.75</v>
      </c>
      <c r="F12" s="55">
        <v>1.74</v>
      </c>
      <c r="G12" s="55">
        <v>1.72</v>
      </c>
      <c r="H12" s="56">
        <v>1.71</v>
      </c>
      <c r="I12" s="55">
        <v>1.69</v>
      </c>
      <c r="J12" s="55">
        <v>1.68</v>
      </c>
      <c r="K12" s="56">
        <v>1.66</v>
      </c>
      <c r="L12" s="55">
        <v>1.65</v>
      </c>
      <c r="M12" s="55">
        <v>1.63</v>
      </c>
      <c r="N12" s="55" t="s">
        <v>222</v>
      </c>
      <c r="O12" s="55" t="s">
        <v>222</v>
      </c>
      <c r="P12" s="55" t="s">
        <v>222</v>
      </c>
      <c r="Q12" s="55" t="s">
        <v>222</v>
      </c>
      <c r="R12" s="55" t="s">
        <v>222</v>
      </c>
      <c r="S12" s="55" t="s">
        <v>222</v>
      </c>
      <c r="T12" s="55" t="s">
        <v>222</v>
      </c>
      <c r="U12" s="55" t="s">
        <v>222</v>
      </c>
      <c r="V12" s="56" t="s">
        <v>222</v>
      </c>
      <c r="W12" s="55" t="s">
        <v>222</v>
      </c>
      <c r="X12" s="55" t="s">
        <v>222</v>
      </c>
      <c r="Y12" s="55" t="s">
        <v>222</v>
      </c>
      <c r="Z12" s="55" t="s">
        <v>222</v>
      </c>
      <c r="AA12" s="55" t="s">
        <v>222</v>
      </c>
      <c r="AB12" s="55" t="s">
        <v>222</v>
      </c>
      <c r="AC12" s="55" t="s">
        <v>222</v>
      </c>
      <c r="AD12" s="55" t="s">
        <v>222</v>
      </c>
      <c r="AE12" s="55" t="s">
        <v>222</v>
      </c>
      <c r="AF12" s="55" t="s">
        <v>222</v>
      </c>
      <c r="AG12" s="56" t="s">
        <v>222</v>
      </c>
      <c r="AH12" s="55" t="s">
        <v>222</v>
      </c>
      <c r="AI12" s="55" t="s">
        <v>222</v>
      </c>
      <c r="AJ12" s="57">
        <v>4.09</v>
      </c>
      <c r="AK12" s="57">
        <v>4.08</v>
      </c>
      <c r="AL12" s="57">
        <v>4.0599999999999996</v>
      </c>
      <c r="AM12" s="57">
        <v>4.04</v>
      </c>
      <c r="AN12" s="57">
        <v>4.0199999999999996</v>
      </c>
      <c r="AO12" s="57">
        <v>4</v>
      </c>
      <c r="AP12" s="57">
        <v>3.97</v>
      </c>
      <c r="AQ12" s="57">
        <v>3.95</v>
      </c>
      <c r="AR12" s="58">
        <v>3.93</v>
      </c>
      <c r="AS12" s="57">
        <v>3.91</v>
      </c>
      <c r="AT12" s="57">
        <v>3.89</v>
      </c>
      <c r="AU12" s="59">
        <v>15.228</v>
      </c>
      <c r="AV12" s="59">
        <v>15.208</v>
      </c>
      <c r="AW12" s="59">
        <v>15.128</v>
      </c>
      <c r="AX12" s="59">
        <v>15.048</v>
      </c>
      <c r="AY12" s="59">
        <v>14.968</v>
      </c>
      <c r="AZ12" s="59">
        <v>14.888</v>
      </c>
      <c r="BA12" s="59">
        <v>14.808</v>
      </c>
      <c r="BB12" s="59">
        <v>14.728</v>
      </c>
      <c r="BC12" s="60">
        <v>14.648</v>
      </c>
      <c r="BD12" s="59">
        <v>14.568</v>
      </c>
      <c r="BE12" s="60">
        <v>14.488</v>
      </c>
    </row>
    <row r="13" spans="1:57" s="10" customFormat="1" ht="68.25" customHeight="1" x14ac:dyDescent="0.2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2"/>
      <c r="AA13" s="12"/>
      <c r="AB13" s="12"/>
      <c r="AC13" s="12"/>
      <c r="AD13" s="12"/>
      <c r="AE13" s="12"/>
      <c r="AF13" s="12"/>
      <c r="AG13" s="1"/>
      <c r="AH13" s="1"/>
      <c r="AI13" s="1"/>
      <c r="AJ13" s="1"/>
      <c r="AK13" s="12"/>
      <c r="AL13" s="12"/>
      <c r="AM13" s="12"/>
      <c r="AN13" s="12"/>
      <c r="AO13" s="12"/>
      <c r="AP13" s="12"/>
      <c r="AQ13" s="12"/>
      <c r="AR13" s="1"/>
      <c r="AV13" s="12"/>
      <c r="AW13" s="12"/>
      <c r="AX13" s="12"/>
      <c r="AY13" s="12"/>
      <c r="AZ13" s="12"/>
      <c r="BA13" s="12"/>
      <c r="BB13" s="12"/>
    </row>
    <row r="14" spans="1:57" s="7" customFormat="1" ht="14.25" customHeight="1" x14ac:dyDescent="0.2">
      <c r="B14" s="211" t="s">
        <v>268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R14" s="32"/>
      <c r="S14" s="32"/>
      <c r="T14" s="32"/>
      <c r="Y14" s="254" t="s">
        <v>269</v>
      </c>
      <c r="Z14" s="254"/>
      <c r="AA14" s="254"/>
      <c r="AB14" s="254"/>
    </row>
    <row r="15" spans="1:57" s="7" customFormat="1" ht="24" customHeight="1" x14ac:dyDescent="0.2">
      <c r="B15" s="52" t="s">
        <v>17</v>
      </c>
    </row>
  </sheetData>
  <mergeCells count="25">
    <mergeCell ref="AU8:BE8"/>
    <mergeCell ref="Y8:AI8"/>
    <mergeCell ref="B7:B10"/>
    <mergeCell ref="C7:X7"/>
    <mergeCell ref="C8:M8"/>
    <mergeCell ref="Y9:Y10"/>
    <mergeCell ref="D9:M9"/>
    <mergeCell ref="C9:C10"/>
    <mergeCell ref="O9:X9"/>
    <mergeCell ref="Y14:AB14"/>
    <mergeCell ref="BC1:BD1"/>
    <mergeCell ref="B14:M14"/>
    <mergeCell ref="AV9:BE9"/>
    <mergeCell ref="A4:BE4"/>
    <mergeCell ref="A5:BE5"/>
    <mergeCell ref="Z9:AI9"/>
    <mergeCell ref="AK9:AT9"/>
    <mergeCell ref="AJ8:AT8"/>
    <mergeCell ref="A7:A10"/>
    <mergeCell ref="A3:BE3"/>
    <mergeCell ref="AJ9:AJ10"/>
    <mergeCell ref="AU9:AU10"/>
    <mergeCell ref="N8:X8"/>
    <mergeCell ref="N9:N10"/>
    <mergeCell ref="Y7:BE7"/>
  </mergeCells>
  <phoneticPr fontId="1" type="noConversion"/>
  <pageMargins left="0.39370078740157483" right="0.11811023622047245" top="0.70866141732283472" bottom="0.31496062992125984" header="0.19685039370078741" footer="0.19685039370078741"/>
  <pageSetup paperSize="9" scale="4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2" manualBreakCount="2">
    <brk id="24" max="14" man="1"/>
    <brk id="46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9"/>
  <sheetViews>
    <sheetView view="pageBreakPreview" topLeftCell="C1" zoomScaleNormal="100" zoomScaleSheetLayoutView="100" workbookViewId="0">
      <selection activeCell="N17" sqref="N17"/>
    </sheetView>
  </sheetViews>
  <sheetFormatPr defaultColWidth="0.85546875" defaultRowHeight="15.75" customHeight="1" x14ac:dyDescent="0.25"/>
  <cols>
    <col min="1" max="1" width="6.140625" style="5" customWidth="1"/>
    <col min="2" max="2" width="36.28515625" style="5" customWidth="1"/>
    <col min="3" max="3" width="17.42578125" style="5" customWidth="1"/>
    <col min="4" max="4" width="17.140625" style="5" customWidth="1"/>
    <col min="5" max="5" width="12.7109375" style="5" customWidth="1"/>
    <col min="6" max="6" width="10.7109375" style="5" customWidth="1"/>
    <col min="7" max="7" width="11.42578125" style="5" customWidth="1"/>
    <col min="8" max="8" width="11.85546875" style="5" customWidth="1"/>
    <col min="9" max="9" width="12.28515625" style="5" customWidth="1"/>
    <col min="10" max="10" width="11.7109375" style="5" customWidth="1"/>
    <col min="11" max="11" width="11.85546875" style="5" customWidth="1"/>
    <col min="12" max="12" width="12.28515625" style="5" customWidth="1"/>
    <col min="13" max="13" width="12.42578125" style="5" customWidth="1"/>
    <col min="14" max="14" width="12.140625" style="5" customWidth="1"/>
    <col min="15" max="15" width="12.42578125" style="5" customWidth="1"/>
    <col min="16" max="16" width="22.42578125" style="5" customWidth="1"/>
    <col min="17" max="16384" width="0.85546875" style="5"/>
  </cols>
  <sheetData>
    <row r="1" spans="1:16" ht="15.75" customHeight="1" x14ac:dyDescent="0.25">
      <c r="P1" s="6" t="s">
        <v>133</v>
      </c>
    </row>
    <row r="2" spans="1:16" ht="4.5" customHeight="1" x14ac:dyDescent="0.25"/>
    <row r="3" spans="1:16" s="9" customFormat="1" ht="15.75" customHeight="1" x14ac:dyDescent="0.25">
      <c r="A3" s="144" t="s">
        <v>134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5.75" customHeight="1" x14ac:dyDescent="0.25">
      <c r="A4" s="124" t="s">
        <v>270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s="3" customFormat="1" ht="13.5" customHeight="1" x14ac:dyDescent="0.2">
      <c r="A5" s="143" t="s">
        <v>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1.25" customHeight="1" x14ac:dyDescent="0.25"/>
    <row r="7" spans="1:16" s="13" customFormat="1" ht="27" customHeight="1" x14ac:dyDescent="0.2">
      <c r="A7" s="269" t="s">
        <v>135</v>
      </c>
      <c r="B7" s="272"/>
      <c r="C7" s="267" t="s">
        <v>303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72" t="s">
        <v>160</v>
      </c>
    </row>
    <row r="8" spans="1:16" s="14" customFormat="1" ht="79.5" customHeight="1" x14ac:dyDescent="0.2">
      <c r="A8" s="270"/>
      <c r="B8" s="273"/>
      <c r="C8" s="267" t="s">
        <v>158</v>
      </c>
      <c r="D8" s="268"/>
      <c r="E8" s="265" t="s">
        <v>159</v>
      </c>
      <c r="F8" s="265" t="s">
        <v>163</v>
      </c>
      <c r="G8" s="266"/>
      <c r="H8" s="266"/>
      <c r="I8" s="266"/>
      <c r="J8" s="266"/>
      <c r="K8" s="266"/>
      <c r="L8" s="266"/>
      <c r="M8" s="266"/>
      <c r="N8" s="266"/>
      <c r="O8" s="266"/>
      <c r="P8" s="273"/>
    </row>
    <row r="9" spans="1:16" s="14" customFormat="1" ht="12" customHeight="1" x14ac:dyDescent="0.2">
      <c r="A9" s="270"/>
      <c r="B9" s="273"/>
      <c r="C9" s="265" t="s">
        <v>256</v>
      </c>
      <c r="D9" s="265" t="s">
        <v>255</v>
      </c>
      <c r="E9" s="276"/>
      <c r="F9" s="267"/>
      <c r="G9" s="268"/>
      <c r="H9" s="268"/>
      <c r="I9" s="268"/>
      <c r="J9" s="268"/>
      <c r="K9" s="268"/>
      <c r="L9" s="268"/>
      <c r="M9" s="268"/>
      <c r="N9" s="268"/>
      <c r="O9" s="268"/>
      <c r="P9" s="273"/>
    </row>
    <row r="10" spans="1:16" s="14" customFormat="1" ht="13.5" customHeight="1" x14ac:dyDescent="0.2">
      <c r="A10" s="271"/>
      <c r="B10" s="274"/>
      <c r="C10" s="275"/>
      <c r="D10" s="275"/>
      <c r="E10" s="275"/>
      <c r="F10" s="33">
        <v>2024</v>
      </c>
      <c r="G10" s="33">
        <v>2025</v>
      </c>
      <c r="H10" s="34">
        <v>2026</v>
      </c>
      <c r="I10" s="34">
        <v>2027</v>
      </c>
      <c r="J10" s="33">
        <v>2028</v>
      </c>
      <c r="K10" s="34">
        <v>2029</v>
      </c>
      <c r="L10" s="34">
        <v>2030</v>
      </c>
      <c r="M10" s="33">
        <v>2031</v>
      </c>
      <c r="N10" s="34">
        <v>2032</v>
      </c>
      <c r="O10" s="34">
        <v>2033</v>
      </c>
      <c r="P10" s="274"/>
    </row>
    <row r="11" spans="1:16" s="15" customFormat="1" ht="13.5" customHeight="1" x14ac:dyDescent="0.2">
      <c r="A11" s="36">
        <v>1</v>
      </c>
      <c r="B11" s="41"/>
      <c r="C11" s="36" t="s">
        <v>28</v>
      </c>
      <c r="D11" s="36" t="s">
        <v>29</v>
      </c>
      <c r="E11" s="36" t="s">
        <v>30</v>
      </c>
      <c r="F11" s="36" t="s">
        <v>125</v>
      </c>
      <c r="G11" s="36" t="s">
        <v>126</v>
      </c>
      <c r="H11" s="36" t="s">
        <v>46</v>
      </c>
      <c r="I11" s="36" t="s">
        <v>47</v>
      </c>
      <c r="J11" s="36" t="s">
        <v>127</v>
      </c>
      <c r="K11" s="36" t="s">
        <v>120</v>
      </c>
      <c r="L11" s="36" t="s">
        <v>121</v>
      </c>
      <c r="M11" s="36" t="s">
        <v>122</v>
      </c>
      <c r="N11" s="36" t="s">
        <v>123</v>
      </c>
      <c r="O11" s="36" t="s">
        <v>115</v>
      </c>
      <c r="P11" s="41" t="s">
        <v>116</v>
      </c>
    </row>
    <row r="12" spans="1:16" s="10" customFormat="1" ht="13.5" customHeight="1" x14ac:dyDescent="0.2">
      <c r="A12" s="37" t="s">
        <v>26</v>
      </c>
      <c r="B12" s="42" t="s">
        <v>140</v>
      </c>
      <c r="C12" s="35" t="s">
        <v>222</v>
      </c>
      <c r="D12" s="38">
        <f>E12</f>
        <v>82251</v>
      </c>
      <c r="E12" s="38">
        <f>F12+G12+H12+I12+J12+K12+L12+M12+N12+O12</f>
        <v>82251</v>
      </c>
      <c r="F12" s="38">
        <f>F13+F14</f>
        <v>6851</v>
      </c>
      <c r="G12" s="38">
        <f t="shared" ref="G12:O12" si="0">G13+G14</f>
        <v>7125</v>
      </c>
      <c r="H12" s="38">
        <f t="shared" si="0"/>
        <v>7410</v>
      </c>
      <c r="I12" s="38">
        <f t="shared" si="0"/>
        <v>7706.4</v>
      </c>
      <c r="J12" s="38">
        <f t="shared" si="0"/>
        <v>8014</v>
      </c>
      <c r="K12" s="38">
        <f t="shared" si="0"/>
        <v>8335</v>
      </c>
      <c r="L12" s="38">
        <f t="shared" si="0"/>
        <v>8668</v>
      </c>
      <c r="M12" s="38">
        <f t="shared" si="0"/>
        <v>9015</v>
      </c>
      <c r="N12" s="38">
        <f t="shared" si="0"/>
        <v>9376</v>
      </c>
      <c r="O12" s="38">
        <f t="shared" si="0"/>
        <v>9750.6</v>
      </c>
      <c r="P12" s="78"/>
    </row>
    <row r="13" spans="1:16" s="10" customFormat="1" ht="54" customHeight="1" x14ac:dyDescent="0.2">
      <c r="A13" s="37" t="s">
        <v>136</v>
      </c>
      <c r="B13" s="43" t="s">
        <v>143</v>
      </c>
      <c r="C13" s="35" t="s">
        <v>222</v>
      </c>
      <c r="D13" s="38">
        <f>E13</f>
        <v>34358.639999999999</v>
      </c>
      <c r="E13" s="38">
        <f>F13+G13+H13+I13+J13+K13+L13+M13+N13+O13</f>
        <v>34358.639999999999</v>
      </c>
      <c r="F13" s="38">
        <v>0</v>
      </c>
      <c r="G13" s="38">
        <v>685</v>
      </c>
      <c r="H13" s="38">
        <v>1398</v>
      </c>
      <c r="I13" s="38">
        <v>2138.6</v>
      </c>
      <c r="J13" s="38">
        <v>2909</v>
      </c>
      <c r="K13" s="38">
        <v>3711</v>
      </c>
      <c r="L13" s="38">
        <v>4544</v>
      </c>
      <c r="M13" s="38">
        <v>5411</v>
      </c>
      <c r="N13" s="38">
        <v>6312</v>
      </c>
      <c r="O13" s="38">
        <v>7250.04</v>
      </c>
      <c r="P13" s="77" t="s">
        <v>378</v>
      </c>
    </row>
    <row r="14" spans="1:16" s="10" customFormat="1" ht="54" customHeight="1" x14ac:dyDescent="0.2">
      <c r="A14" s="37" t="s">
        <v>137</v>
      </c>
      <c r="B14" s="43" t="s">
        <v>144</v>
      </c>
      <c r="C14" s="35" t="s">
        <v>222</v>
      </c>
      <c r="D14" s="38">
        <f>E14</f>
        <v>47892.36</v>
      </c>
      <c r="E14" s="38">
        <f>F14+G14+H14+I14+J14+K14+L14+M14+N14+O14</f>
        <v>47892.36</v>
      </c>
      <c r="F14" s="38">
        <v>6851</v>
      </c>
      <c r="G14" s="38">
        <v>6440</v>
      </c>
      <c r="H14" s="38">
        <v>6012</v>
      </c>
      <c r="I14" s="38">
        <v>5567.8</v>
      </c>
      <c r="J14" s="38">
        <v>5105</v>
      </c>
      <c r="K14" s="38">
        <v>4624</v>
      </c>
      <c r="L14" s="38">
        <v>4124</v>
      </c>
      <c r="M14" s="38">
        <v>3604</v>
      </c>
      <c r="N14" s="38">
        <v>3064</v>
      </c>
      <c r="O14" s="38">
        <v>2500.56</v>
      </c>
      <c r="P14" s="77" t="s">
        <v>379</v>
      </c>
    </row>
    <row r="15" spans="1:16" s="10" customFormat="1" ht="13.5" customHeight="1" x14ac:dyDescent="0.2">
      <c r="A15" s="37" t="s">
        <v>138</v>
      </c>
      <c r="B15" s="42" t="s">
        <v>161</v>
      </c>
      <c r="C15" s="35" t="s">
        <v>222</v>
      </c>
      <c r="D15" s="35" t="s">
        <v>222</v>
      </c>
      <c r="E15" s="35" t="s">
        <v>222</v>
      </c>
      <c r="F15" s="35" t="s">
        <v>222</v>
      </c>
      <c r="G15" s="35" t="s">
        <v>222</v>
      </c>
      <c r="H15" s="35" t="s">
        <v>222</v>
      </c>
      <c r="I15" s="35" t="s">
        <v>222</v>
      </c>
      <c r="J15" s="35" t="s">
        <v>222</v>
      </c>
      <c r="K15" s="35" t="s">
        <v>222</v>
      </c>
      <c r="L15" s="35" t="s">
        <v>222</v>
      </c>
      <c r="M15" s="35" t="s">
        <v>222</v>
      </c>
      <c r="N15" s="35" t="s">
        <v>222</v>
      </c>
      <c r="O15" s="35" t="s">
        <v>222</v>
      </c>
      <c r="P15" s="78"/>
    </row>
    <row r="16" spans="1:16" s="10" customFormat="1" ht="27" customHeight="1" x14ac:dyDescent="0.2">
      <c r="A16" s="37" t="s">
        <v>88</v>
      </c>
      <c r="B16" s="43" t="s">
        <v>141</v>
      </c>
      <c r="C16" s="35" t="s">
        <v>222</v>
      </c>
      <c r="D16" s="35" t="s">
        <v>222</v>
      </c>
      <c r="E16" s="35" t="s">
        <v>222</v>
      </c>
      <c r="F16" s="35" t="s">
        <v>222</v>
      </c>
      <c r="G16" s="35" t="s">
        <v>222</v>
      </c>
      <c r="H16" s="35" t="s">
        <v>222</v>
      </c>
      <c r="I16" s="35" t="s">
        <v>222</v>
      </c>
      <c r="J16" s="35" t="s">
        <v>222</v>
      </c>
      <c r="K16" s="35" t="s">
        <v>222</v>
      </c>
      <c r="L16" s="35" t="s">
        <v>222</v>
      </c>
      <c r="M16" s="35" t="s">
        <v>222</v>
      </c>
      <c r="N16" s="35" t="s">
        <v>222</v>
      </c>
      <c r="O16" s="35" t="s">
        <v>222</v>
      </c>
      <c r="P16" s="77"/>
    </row>
    <row r="17" spans="1:16" s="10" customFormat="1" ht="93" customHeight="1" x14ac:dyDescent="0.2">
      <c r="A17" s="37" t="s">
        <v>89</v>
      </c>
      <c r="B17" s="43" t="s">
        <v>142</v>
      </c>
      <c r="C17" s="35" t="s">
        <v>222</v>
      </c>
      <c r="D17" s="35" t="s">
        <v>222</v>
      </c>
      <c r="E17" s="35" t="s">
        <v>222</v>
      </c>
      <c r="F17" s="35" t="s">
        <v>222</v>
      </c>
      <c r="G17" s="35" t="s">
        <v>222</v>
      </c>
      <c r="H17" s="35" t="s">
        <v>222</v>
      </c>
      <c r="I17" s="35" t="s">
        <v>222</v>
      </c>
      <c r="J17" s="35" t="s">
        <v>222</v>
      </c>
      <c r="K17" s="35" t="s">
        <v>222</v>
      </c>
      <c r="L17" s="35" t="s">
        <v>222</v>
      </c>
      <c r="M17" s="35" t="s">
        <v>222</v>
      </c>
      <c r="N17" s="35" t="s">
        <v>222</v>
      </c>
      <c r="O17" s="35" t="s">
        <v>222</v>
      </c>
      <c r="P17" s="77"/>
    </row>
    <row r="18" spans="1:16" s="10" customFormat="1" ht="79.5" customHeight="1" x14ac:dyDescent="0.2">
      <c r="A18" s="37" t="s">
        <v>139</v>
      </c>
      <c r="B18" s="43" t="s">
        <v>162</v>
      </c>
      <c r="C18" s="35" t="s">
        <v>222</v>
      </c>
      <c r="D18" s="35" t="s">
        <v>222</v>
      </c>
      <c r="E18" s="35" t="s">
        <v>222</v>
      </c>
      <c r="F18" s="35" t="s">
        <v>222</v>
      </c>
      <c r="G18" s="35" t="s">
        <v>222</v>
      </c>
      <c r="H18" s="35" t="s">
        <v>222</v>
      </c>
      <c r="I18" s="35" t="s">
        <v>222</v>
      </c>
      <c r="J18" s="35" t="s">
        <v>222</v>
      </c>
      <c r="K18" s="35" t="s">
        <v>222</v>
      </c>
      <c r="L18" s="35" t="s">
        <v>222</v>
      </c>
      <c r="M18" s="35" t="s">
        <v>222</v>
      </c>
      <c r="N18" s="35" t="s">
        <v>222</v>
      </c>
      <c r="O18" s="35" t="s">
        <v>222</v>
      </c>
      <c r="P18" s="77"/>
    </row>
    <row r="19" spans="1:16" s="10" customFormat="1" ht="27" customHeight="1" x14ac:dyDescent="0.2">
      <c r="A19" s="37" t="s">
        <v>145</v>
      </c>
      <c r="B19" s="43" t="s">
        <v>147</v>
      </c>
      <c r="C19" s="35" t="s">
        <v>222</v>
      </c>
      <c r="D19" s="35" t="s">
        <v>222</v>
      </c>
      <c r="E19" s="35" t="s">
        <v>222</v>
      </c>
      <c r="F19" s="35" t="s">
        <v>222</v>
      </c>
      <c r="G19" s="35" t="s">
        <v>222</v>
      </c>
      <c r="H19" s="35" t="s">
        <v>222</v>
      </c>
      <c r="I19" s="35" t="s">
        <v>222</v>
      </c>
      <c r="J19" s="35" t="s">
        <v>222</v>
      </c>
      <c r="K19" s="35" t="s">
        <v>222</v>
      </c>
      <c r="L19" s="35" t="s">
        <v>222</v>
      </c>
      <c r="M19" s="35" t="s">
        <v>222</v>
      </c>
      <c r="N19" s="35" t="s">
        <v>222</v>
      </c>
      <c r="O19" s="35" t="s">
        <v>222</v>
      </c>
      <c r="P19" s="77"/>
    </row>
    <row r="20" spans="1:16" s="10" customFormat="1" ht="27" customHeight="1" x14ac:dyDescent="0.2">
      <c r="A20" s="37" t="s">
        <v>146</v>
      </c>
      <c r="B20" s="43" t="s">
        <v>148</v>
      </c>
      <c r="C20" s="35" t="s">
        <v>222</v>
      </c>
      <c r="D20" s="35" t="s">
        <v>222</v>
      </c>
      <c r="E20" s="35" t="s">
        <v>222</v>
      </c>
      <c r="F20" s="35" t="s">
        <v>222</v>
      </c>
      <c r="G20" s="35" t="s">
        <v>222</v>
      </c>
      <c r="H20" s="35" t="s">
        <v>222</v>
      </c>
      <c r="I20" s="35" t="s">
        <v>222</v>
      </c>
      <c r="J20" s="35" t="s">
        <v>222</v>
      </c>
      <c r="K20" s="35" t="s">
        <v>222</v>
      </c>
      <c r="L20" s="35" t="s">
        <v>222</v>
      </c>
      <c r="M20" s="35" t="s">
        <v>222</v>
      </c>
      <c r="N20" s="35" t="s">
        <v>222</v>
      </c>
      <c r="O20" s="35" t="s">
        <v>222</v>
      </c>
      <c r="P20" s="77"/>
    </row>
    <row r="21" spans="1:16" s="10" customFormat="1" ht="27" customHeight="1" x14ac:dyDescent="0.2">
      <c r="A21" s="37" t="s">
        <v>28</v>
      </c>
      <c r="B21" s="43" t="s">
        <v>149</v>
      </c>
      <c r="C21" s="35" t="s">
        <v>222</v>
      </c>
      <c r="D21" s="35" t="s">
        <v>222</v>
      </c>
      <c r="E21" s="35" t="s">
        <v>222</v>
      </c>
      <c r="F21" s="35" t="s">
        <v>222</v>
      </c>
      <c r="G21" s="35" t="s">
        <v>222</v>
      </c>
      <c r="H21" s="35" t="s">
        <v>222</v>
      </c>
      <c r="I21" s="35" t="s">
        <v>222</v>
      </c>
      <c r="J21" s="35" t="s">
        <v>222</v>
      </c>
      <c r="K21" s="35" t="s">
        <v>222</v>
      </c>
      <c r="L21" s="35" t="s">
        <v>222</v>
      </c>
      <c r="M21" s="35" t="s">
        <v>222</v>
      </c>
      <c r="N21" s="35" t="s">
        <v>222</v>
      </c>
      <c r="O21" s="35" t="s">
        <v>222</v>
      </c>
      <c r="P21" s="77"/>
    </row>
    <row r="22" spans="1:16" s="10" customFormat="1" ht="13.5" customHeight="1" x14ac:dyDescent="0.2">
      <c r="A22" s="37" t="s">
        <v>150</v>
      </c>
      <c r="B22" s="43" t="s">
        <v>153</v>
      </c>
      <c r="C22" s="35" t="s">
        <v>222</v>
      </c>
      <c r="D22" s="35" t="s">
        <v>222</v>
      </c>
      <c r="E22" s="35" t="s">
        <v>222</v>
      </c>
      <c r="F22" s="35" t="s">
        <v>222</v>
      </c>
      <c r="G22" s="35" t="s">
        <v>222</v>
      </c>
      <c r="H22" s="35" t="s">
        <v>222</v>
      </c>
      <c r="I22" s="35" t="s">
        <v>222</v>
      </c>
      <c r="J22" s="35" t="s">
        <v>222</v>
      </c>
      <c r="K22" s="35" t="s">
        <v>222</v>
      </c>
      <c r="L22" s="35" t="s">
        <v>222</v>
      </c>
      <c r="M22" s="35" t="s">
        <v>222</v>
      </c>
      <c r="N22" s="35" t="s">
        <v>222</v>
      </c>
      <c r="O22" s="35" t="s">
        <v>222</v>
      </c>
      <c r="P22" s="77"/>
    </row>
    <row r="23" spans="1:16" s="10" customFormat="1" ht="13.5" customHeight="1" x14ac:dyDescent="0.2">
      <c r="A23" s="37" t="s">
        <v>151</v>
      </c>
      <c r="B23" s="43" t="s">
        <v>154</v>
      </c>
      <c r="C23" s="35" t="s">
        <v>222</v>
      </c>
      <c r="D23" s="35" t="s">
        <v>222</v>
      </c>
      <c r="E23" s="35" t="s">
        <v>222</v>
      </c>
      <c r="F23" s="35" t="s">
        <v>222</v>
      </c>
      <c r="G23" s="35" t="s">
        <v>222</v>
      </c>
      <c r="H23" s="35" t="s">
        <v>222</v>
      </c>
      <c r="I23" s="35" t="s">
        <v>222</v>
      </c>
      <c r="J23" s="35" t="s">
        <v>222</v>
      </c>
      <c r="K23" s="35" t="s">
        <v>222</v>
      </c>
      <c r="L23" s="35" t="s">
        <v>222</v>
      </c>
      <c r="M23" s="35" t="s">
        <v>222</v>
      </c>
      <c r="N23" s="35" t="s">
        <v>222</v>
      </c>
      <c r="O23" s="35" t="s">
        <v>222</v>
      </c>
      <c r="P23" s="77"/>
    </row>
    <row r="24" spans="1:16" s="10" customFormat="1" ht="13.5" customHeight="1" x14ac:dyDescent="0.2">
      <c r="A24" s="37" t="s">
        <v>152</v>
      </c>
      <c r="B24" s="43" t="s">
        <v>155</v>
      </c>
      <c r="C24" s="35" t="s">
        <v>222</v>
      </c>
      <c r="D24" s="35" t="s">
        <v>222</v>
      </c>
      <c r="E24" s="35" t="s">
        <v>222</v>
      </c>
      <c r="F24" s="35" t="s">
        <v>222</v>
      </c>
      <c r="G24" s="35" t="s">
        <v>222</v>
      </c>
      <c r="H24" s="35" t="s">
        <v>222</v>
      </c>
      <c r="I24" s="35" t="s">
        <v>222</v>
      </c>
      <c r="J24" s="35" t="s">
        <v>222</v>
      </c>
      <c r="K24" s="35" t="s">
        <v>222</v>
      </c>
      <c r="L24" s="35" t="s">
        <v>222</v>
      </c>
      <c r="M24" s="35" t="s">
        <v>222</v>
      </c>
      <c r="N24" s="35" t="s">
        <v>222</v>
      </c>
      <c r="O24" s="35" t="s">
        <v>222</v>
      </c>
      <c r="P24" s="77"/>
    </row>
    <row r="25" spans="1:16" s="10" customFormat="1" ht="105.95" customHeight="1" x14ac:dyDescent="0.2">
      <c r="A25" s="37" t="s">
        <v>29</v>
      </c>
      <c r="B25" s="43" t="s">
        <v>156</v>
      </c>
      <c r="C25" s="35" t="s">
        <v>222</v>
      </c>
      <c r="D25" s="35" t="s">
        <v>222</v>
      </c>
      <c r="E25" s="35" t="s">
        <v>222</v>
      </c>
      <c r="F25" s="35" t="s">
        <v>222</v>
      </c>
      <c r="G25" s="35" t="s">
        <v>222</v>
      </c>
      <c r="H25" s="35" t="s">
        <v>222</v>
      </c>
      <c r="I25" s="35" t="s">
        <v>222</v>
      </c>
      <c r="J25" s="35" t="s">
        <v>222</v>
      </c>
      <c r="K25" s="35" t="s">
        <v>222</v>
      </c>
      <c r="L25" s="35" t="s">
        <v>222</v>
      </c>
      <c r="M25" s="35" t="s">
        <v>222</v>
      </c>
      <c r="N25" s="35" t="s">
        <v>222</v>
      </c>
      <c r="O25" s="35" t="s">
        <v>222</v>
      </c>
      <c r="P25" s="77"/>
    </row>
    <row r="26" spans="1:16" s="10" customFormat="1" ht="13.5" customHeight="1" x14ac:dyDescent="0.2">
      <c r="A26" s="37" t="s">
        <v>30</v>
      </c>
      <c r="B26" s="43" t="s">
        <v>157</v>
      </c>
      <c r="C26" s="35" t="s">
        <v>222</v>
      </c>
      <c r="D26" s="35" t="s">
        <v>222</v>
      </c>
      <c r="E26" s="35" t="s">
        <v>222</v>
      </c>
      <c r="F26" s="35" t="s">
        <v>222</v>
      </c>
      <c r="G26" s="35" t="s">
        <v>222</v>
      </c>
      <c r="H26" s="35" t="s">
        <v>222</v>
      </c>
      <c r="I26" s="35" t="s">
        <v>222</v>
      </c>
      <c r="J26" s="35" t="s">
        <v>222</v>
      </c>
      <c r="K26" s="35" t="s">
        <v>222</v>
      </c>
      <c r="L26" s="35" t="s">
        <v>222</v>
      </c>
      <c r="M26" s="35" t="s">
        <v>222</v>
      </c>
      <c r="N26" s="35" t="s">
        <v>222</v>
      </c>
      <c r="O26" s="35" t="s">
        <v>222</v>
      </c>
      <c r="P26" s="77"/>
    </row>
    <row r="27" spans="1:16" s="10" customFormat="1" ht="42" customHeight="1" x14ac:dyDescent="0.2">
      <c r="B27" s="12"/>
      <c r="C27" s="12"/>
      <c r="D27" s="1"/>
      <c r="E27" s="1"/>
      <c r="F27" s="1"/>
      <c r="G27" s="1"/>
      <c r="H27" s="1"/>
      <c r="J27" s="1"/>
      <c r="K27" s="1"/>
      <c r="M27" s="1"/>
      <c r="N27" s="1"/>
    </row>
    <row r="28" spans="1:16" s="7" customFormat="1" ht="14.25" customHeight="1" x14ac:dyDescent="0.2">
      <c r="B28" s="211" t="s">
        <v>268</v>
      </c>
      <c r="C28" s="211"/>
      <c r="D28" s="211"/>
      <c r="E28" s="211"/>
      <c r="H28" s="141" t="s">
        <v>269</v>
      </c>
      <c r="I28" s="141"/>
      <c r="J28" s="141"/>
    </row>
    <row r="29" spans="1:16" s="7" customFormat="1" ht="24" customHeight="1" x14ac:dyDescent="0.2">
      <c r="B29" s="8" t="s">
        <v>17</v>
      </c>
    </row>
  </sheetData>
  <mergeCells count="15">
    <mergeCell ref="A3:P3"/>
    <mergeCell ref="C9:C10"/>
    <mergeCell ref="D9:D10"/>
    <mergeCell ref="C8:D8"/>
    <mergeCell ref="E8:E10"/>
    <mergeCell ref="C7:O7"/>
    <mergeCell ref="P7:P10"/>
    <mergeCell ref="B28:E28"/>
    <mergeCell ref="H28:J28"/>
    <mergeCell ref="F8:O8"/>
    <mergeCell ref="F9:O9"/>
    <mergeCell ref="A4:P4"/>
    <mergeCell ref="A5:P5"/>
    <mergeCell ref="A7:A10"/>
    <mergeCell ref="B7:B10"/>
  </mergeCells>
  <phoneticPr fontId="1" type="noConversion"/>
  <pageMargins left="0.39370078740157483" right="0.11811023622047245" top="0.62992125984251968" bottom="0.31496062992125984" header="0.19685039370078741" footer="0.19685039370078741"/>
  <pageSetup paperSize="9" scale="5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9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66"/>
  <sheetViews>
    <sheetView view="pageBreakPreview" topLeftCell="A10" zoomScale="90" zoomScaleNormal="100" zoomScaleSheetLayoutView="90" workbookViewId="0">
      <selection activeCell="N17" sqref="N17:N22"/>
    </sheetView>
  </sheetViews>
  <sheetFormatPr defaultColWidth="0.85546875" defaultRowHeight="15.75" customHeight="1" x14ac:dyDescent="0.2"/>
  <cols>
    <col min="1" max="1" width="7.42578125" style="29" customWidth="1"/>
    <col min="2" max="2" width="20" style="29" customWidth="1"/>
    <col min="3" max="3" width="6.85546875" style="29" customWidth="1"/>
    <col min="4" max="5" width="7" style="29" customWidth="1"/>
    <col min="6" max="6" width="6.140625" style="29" customWidth="1"/>
    <col min="7" max="7" width="7.7109375" style="29" customWidth="1"/>
    <col min="8" max="8" width="7.28515625" style="29" customWidth="1"/>
    <col min="9" max="9" width="7.7109375" style="29" customWidth="1"/>
    <col min="10" max="10" width="9.42578125" style="29" customWidth="1"/>
    <col min="11" max="11" width="10.140625" style="29" customWidth="1"/>
    <col min="12" max="12" width="11.5703125" style="29" customWidth="1"/>
    <col min="13" max="13" width="9" style="29" customWidth="1"/>
    <col min="14" max="14" width="9.42578125" style="29" customWidth="1"/>
    <col min="15" max="15" width="10" style="29" customWidth="1"/>
    <col min="16" max="16" width="9.28515625" style="29" customWidth="1"/>
    <col min="17" max="17" width="8.7109375" style="29" customWidth="1"/>
    <col min="18" max="18" width="9.7109375" style="29" customWidth="1"/>
    <col min="19" max="19" width="10.42578125" style="29" customWidth="1"/>
    <col min="20" max="20" width="9.42578125" style="29" customWidth="1"/>
    <col min="21" max="21" width="20.140625" style="29" customWidth="1"/>
    <col min="22" max="22" width="16" style="29" customWidth="1"/>
    <col min="23" max="23" width="14.5703125" style="29" customWidth="1"/>
    <col min="24" max="24" width="10.7109375" style="29" customWidth="1"/>
    <col min="25" max="25" width="0.85546875" style="29" customWidth="1"/>
    <col min="26" max="16384" width="0.85546875" style="29"/>
  </cols>
  <sheetData>
    <row r="1" spans="1:24" ht="12" customHeight="1" x14ac:dyDescent="0.2">
      <c r="W1" s="29" t="s">
        <v>346</v>
      </c>
    </row>
    <row r="2" spans="1:24" ht="12" customHeight="1" x14ac:dyDescent="0.2">
      <c r="A2" s="284" t="s">
        <v>304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</row>
    <row r="3" spans="1:24" ht="12" customHeight="1" x14ac:dyDescent="0.2">
      <c r="A3" s="285" t="s">
        <v>270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</row>
    <row r="4" spans="1:24" ht="12" customHeight="1" x14ac:dyDescent="0.2">
      <c r="A4" s="286" t="s">
        <v>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</row>
    <row r="5" spans="1:24" ht="6" customHeight="1" x14ac:dyDescent="0.2"/>
    <row r="6" spans="1:24" ht="37.5" customHeight="1" x14ac:dyDescent="0.2">
      <c r="A6" s="279" t="s">
        <v>21</v>
      </c>
      <c r="B6" s="278" t="s">
        <v>164</v>
      </c>
      <c r="C6" s="278" t="s">
        <v>183</v>
      </c>
      <c r="D6" s="278"/>
      <c r="E6" s="278" t="s">
        <v>184</v>
      </c>
      <c r="F6" s="278"/>
      <c r="G6" s="278" t="s">
        <v>185</v>
      </c>
      <c r="H6" s="278"/>
      <c r="I6" s="278"/>
      <c r="J6" s="278"/>
      <c r="K6" s="278"/>
      <c r="L6" s="278" t="s">
        <v>186</v>
      </c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 t="s">
        <v>182</v>
      </c>
    </row>
    <row r="7" spans="1:24" ht="10.5" customHeight="1" x14ac:dyDescent="0.2">
      <c r="A7" s="279"/>
      <c r="B7" s="278"/>
      <c r="C7" s="278" t="s">
        <v>165</v>
      </c>
      <c r="D7" s="278" t="s">
        <v>166</v>
      </c>
      <c r="E7" s="278" t="s">
        <v>165</v>
      </c>
      <c r="F7" s="278" t="s">
        <v>166</v>
      </c>
      <c r="G7" s="278" t="s">
        <v>75</v>
      </c>
      <c r="H7" s="278"/>
      <c r="I7" s="278"/>
      <c r="J7" s="278"/>
      <c r="K7" s="278" t="s">
        <v>38</v>
      </c>
      <c r="L7" s="278" t="s">
        <v>165</v>
      </c>
      <c r="M7" s="278" t="s">
        <v>166</v>
      </c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</row>
    <row r="8" spans="1:24" s="67" customFormat="1" ht="191.25" customHeight="1" x14ac:dyDescent="0.2">
      <c r="A8" s="279"/>
      <c r="B8" s="278"/>
      <c r="C8" s="278"/>
      <c r="D8" s="278"/>
      <c r="E8" s="278"/>
      <c r="F8" s="278"/>
      <c r="G8" s="65" t="s">
        <v>31</v>
      </c>
      <c r="H8" s="65" t="s">
        <v>34</v>
      </c>
      <c r="I8" s="65" t="s">
        <v>188</v>
      </c>
      <c r="J8" s="65" t="s">
        <v>36</v>
      </c>
      <c r="K8" s="278"/>
      <c r="L8" s="278"/>
      <c r="M8" s="65" t="s">
        <v>173</v>
      </c>
      <c r="N8" s="65" t="s">
        <v>189</v>
      </c>
      <c r="O8" s="65" t="s">
        <v>190</v>
      </c>
      <c r="P8" s="65" t="s">
        <v>174</v>
      </c>
      <c r="Q8" s="65" t="s">
        <v>175</v>
      </c>
      <c r="R8" s="65" t="s">
        <v>191</v>
      </c>
      <c r="S8" s="65" t="s">
        <v>179</v>
      </c>
      <c r="T8" s="65" t="s">
        <v>192</v>
      </c>
      <c r="U8" s="65" t="s">
        <v>193</v>
      </c>
      <c r="V8" s="65" t="s">
        <v>157</v>
      </c>
      <c r="W8" s="65" t="s">
        <v>49</v>
      </c>
      <c r="X8" s="278"/>
    </row>
    <row r="9" spans="1:24" s="68" customFormat="1" ht="12.75" x14ac:dyDescent="0.2">
      <c r="A9" s="69" t="s">
        <v>26</v>
      </c>
      <c r="B9" s="69" t="s">
        <v>27</v>
      </c>
      <c r="C9" s="69" t="s">
        <v>28</v>
      </c>
      <c r="D9" s="69" t="s">
        <v>29</v>
      </c>
      <c r="E9" s="69" t="s">
        <v>30</v>
      </c>
      <c r="F9" s="69" t="s">
        <v>125</v>
      </c>
      <c r="G9" s="69" t="s">
        <v>40</v>
      </c>
      <c r="H9" s="69" t="s">
        <v>41</v>
      </c>
      <c r="I9" s="69" t="s">
        <v>42</v>
      </c>
      <c r="J9" s="69" t="s">
        <v>43</v>
      </c>
      <c r="K9" s="69" t="s">
        <v>197</v>
      </c>
      <c r="L9" s="69" t="s">
        <v>167</v>
      </c>
      <c r="M9" s="69" t="s">
        <v>168</v>
      </c>
      <c r="N9" s="69" t="s">
        <v>169</v>
      </c>
      <c r="O9" s="69" t="s">
        <v>170</v>
      </c>
      <c r="P9" s="69" t="s">
        <v>171</v>
      </c>
      <c r="Q9" s="69" t="s">
        <v>172</v>
      </c>
      <c r="R9" s="69" t="s">
        <v>176</v>
      </c>
      <c r="S9" s="69" t="s">
        <v>177</v>
      </c>
      <c r="T9" s="69" t="s">
        <v>178</v>
      </c>
      <c r="U9" s="69" t="s">
        <v>180</v>
      </c>
      <c r="V9" s="69" t="s">
        <v>181</v>
      </c>
      <c r="W9" s="69"/>
      <c r="X9" s="69" t="s">
        <v>47</v>
      </c>
    </row>
    <row r="10" spans="1:24" ht="24.75" customHeight="1" x14ac:dyDescent="0.2">
      <c r="A10" s="288" t="s">
        <v>187</v>
      </c>
      <c r="B10" s="288"/>
      <c r="C10" s="288"/>
      <c r="D10" s="288"/>
      <c r="E10" s="288"/>
      <c r="F10" s="288"/>
      <c r="G10" s="288"/>
      <c r="H10" s="288"/>
      <c r="I10" s="288"/>
      <c r="J10" s="77"/>
      <c r="K10" s="72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7"/>
    </row>
    <row r="11" spans="1:24" ht="24.75" customHeight="1" x14ac:dyDescent="0.2">
      <c r="A11" s="288" t="s">
        <v>90</v>
      </c>
      <c r="B11" s="288"/>
      <c r="C11" s="288"/>
      <c r="D11" s="69"/>
      <c r="E11" s="69"/>
      <c r="F11" s="69"/>
      <c r="G11" s="72"/>
      <c r="H11" s="72"/>
      <c r="I11" s="72"/>
      <c r="J11" s="77"/>
      <c r="K11" s="72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7"/>
    </row>
    <row r="12" spans="1:24" ht="105" customHeight="1" x14ac:dyDescent="0.2">
      <c r="A12" s="92" t="s">
        <v>367</v>
      </c>
      <c r="B12" s="44" t="s">
        <v>275</v>
      </c>
      <c r="C12" s="69" t="s">
        <v>213</v>
      </c>
      <c r="D12" s="69"/>
      <c r="E12" s="69" t="s">
        <v>280</v>
      </c>
      <c r="F12" s="69"/>
      <c r="G12" s="72"/>
      <c r="H12" s="72"/>
      <c r="I12" s="72"/>
      <c r="J12" s="77"/>
      <c r="K12" s="72"/>
      <c r="L12" s="71">
        <f>L13+L17+L23+L26+L28+L33+L36+L48+L51+L55</f>
        <v>82251.000000000015</v>
      </c>
      <c r="M12" s="71">
        <f>M13+M17+M23+M26+M28+M33+M36+M48+M51+M55</f>
        <v>0</v>
      </c>
      <c r="N12" s="71">
        <f>N13+N17+N23+N26+N28+N33+N36+N48+N51+N55</f>
        <v>0</v>
      </c>
      <c r="O12" s="72"/>
      <c r="P12" s="72"/>
      <c r="Q12" s="72"/>
      <c r="R12" s="72"/>
      <c r="S12" s="72"/>
      <c r="T12" s="71">
        <f>T13+T17+T23+T26+T28+T33+T36+T48+T51+T55</f>
        <v>0</v>
      </c>
      <c r="U12" s="72"/>
      <c r="V12" s="72"/>
      <c r="W12" s="71">
        <f>W13+W17+W23+W26+W28+W33+W36+W48+W51+W55</f>
        <v>0</v>
      </c>
      <c r="X12" s="77"/>
    </row>
    <row r="13" spans="1:24" ht="63.75" customHeight="1" x14ac:dyDescent="0.2">
      <c r="A13" s="156" t="s">
        <v>368</v>
      </c>
      <c r="B13" s="44" t="s">
        <v>306</v>
      </c>
      <c r="C13" s="281" t="s">
        <v>213</v>
      </c>
      <c r="D13" s="281"/>
      <c r="E13" s="281" t="s">
        <v>213</v>
      </c>
      <c r="F13" s="281"/>
      <c r="G13" s="165">
        <v>150</v>
      </c>
      <c r="H13" s="165">
        <v>64</v>
      </c>
      <c r="I13" s="165">
        <f>53*2/1000</f>
        <v>0.106</v>
      </c>
      <c r="J13" s="280" t="s">
        <v>297</v>
      </c>
      <c r="K13" s="155">
        <f>0.258982+(0.0235+0.033+0.12)+0.0714+0.0339+0.0716+0.0319+0.2441+0.3313+0.32+0.338097+0.34507+0.13501+(0.05)+0.43702+0.04615+0.255461+0.03025+0.0074</f>
        <v>3.1841399999999997</v>
      </c>
      <c r="L13" s="277">
        <f>8221.2/1.2</f>
        <v>6851.0000000000009</v>
      </c>
      <c r="M13" s="277">
        <f>W13*0.9165/100</f>
        <v>0</v>
      </c>
      <c r="N13" s="277">
        <f>W13*48.0523/100</f>
        <v>0</v>
      </c>
      <c r="O13" s="279"/>
      <c r="P13" s="279"/>
      <c r="Q13" s="279"/>
      <c r="R13" s="279"/>
      <c r="S13" s="279"/>
      <c r="T13" s="277">
        <f>W13-N13-M13</f>
        <v>0</v>
      </c>
      <c r="U13" s="279"/>
      <c r="V13" s="279"/>
      <c r="W13" s="277">
        <v>0</v>
      </c>
      <c r="X13" s="279"/>
    </row>
    <row r="14" spans="1:24" ht="38.25" x14ac:dyDescent="0.2">
      <c r="A14" s="157"/>
      <c r="B14" s="73" t="s">
        <v>311</v>
      </c>
      <c r="C14" s="281"/>
      <c r="D14" s="281"/>
      <c r="E14" s="281"/>
      <c r="F14" s="281"/>
      <c r="G14" s="165"/>
      <c r="H14" s="165"/>
      <c r="I14" s="165"/>
      <c r="J14" s="280"/>
      <c r="K14" s="155"/>
      <c r="L14" s="277"/>
      <c r="M14" s="277"/>
      <c r="N14" s="277"/>
      <c r="O14" s="279"/>
      <c r="P14" s="279"/>
      <c r="Q14" s="279"/>
      <c r="R14" s="279"/>
      <c r="S14" s="279"/>
      <c r="T14" s="277"/>
      <c r="U14" s="279"/>
      <c r="V14" s="279"/>
      <c r="W14" s="277"/>
      <c r="X14" s="279"/>
    </row>
    <row r="15" spans="1:24" ht="33.75" customHeight="1" x14ac:dyDescent="0.2">
      <c r="A15" s="157"/>
      <c r="B15" s="73" t="s">
        <v>305</v>
      </c>
      <c r="C15" s="281"/>
      <c r="D15" s="281"/>
      <c r="E15" s="281"/>
      <c r="F15" s="281"/>
      <c r="G15" s="70">
        <v>65</v>
      </c>
      <c r="H15" s="70">
        <v>8.4</v>
      </c>
      <c r="I15" s="70">
        <f>10*2/1000</f>
        <v>0.02</v>
      </c>
      <c r="J15" s="63" t="s">
        <v>297</v>
      </c>
      <c r="K15" s="155"/>
      <c r="L15" s="277"/>
      <c r="M15" s="277"/>
      <c r="N15" s="277"/>
      <c r="O15" s="279"/>
      <c r="P15" s="279"/>
      <c r="Q15" s="279"/>
      <c r="R15" s="279"/>
      <c r="S15" s="279"/>
      <c r="T15" s="277"/>
      <c r="U15" s="279"/>
      <c r="V15" s="279"/>
      <c r="W15" s="277"/>
      <c r="X15" s="279"/>
    </row>
    <row r="16" spans="1:24" ht="33" customHeight="1" x14ac:dyDescent="0.2">
      <c r="A16" s="158"/>
      <c r="B16" s="73" t="s">
        <v>312</v>
      </c>
      <c r="C16" s="281"/>
      <c r="D16" s="281"/>
      <c r="E16" s="281"/>
      <c r="F16" s="281"/>
      <c r="G16" s="70">
        <v>150</v>
      </c>
      <c r="H16" s="70">
        <v>64</v>
      </c>
      <c r="I16" s="70">
        <f>30*2/1000</f>
        <v>0.06</v>
      </c>
      <c r="J16" s="63" t="s">
        <v>297</v>
      </c>
      <c r="K16" s="155"/>
      <c r="L16" s="277"/>
      <c r="M16" s="277"/>
      <c r="N16" s="277"/>
      <c r="O16" s="279"/>
      <c r="P16" s="279"/>
      <c r="Q16" s="279"/>
      <c r="R16" s="279"/>
      <c r="S16" s="279"/>
      <c r="T16" s="277"/>
      <c r="U16" s="279"/>
      <c r="V16" s="279"/>
      <c r="W16" s="277"/>
      <c r="X16" s="279"/>
    </row>
    <row r="17" spans="1:24" ht="63.75" customHeight="1" x14ac:dyDescent="0.2">
      <c r="A17" s="156" t="s">
        <v>369</v>
      </c>
      <c r="B17" s="44" t="s">
        <v>308</v>
      </c>
      <c r="C17" s="281" t="s">
        <v>257</v>
      </c>
      <c r="D17" s="281"/>
      <c r="E17" s="281" t="s">
        <v>257</v>
      </c>
      <c r="F17" s="281"/>
      <c r="G17" s="165">
        <v>150</v>
      </c>
      <c r="H17" s="165">
        <v>64</v>
      </c>
      <c r="I17" s="165">
        <f>54*2/1000</f>
        <v>0.108</v>
      </c>
      <c r="J17" s="280" t="s">
        <v>297</v>
      </c>
      <c r="K17" s="155">
        <f>K13-0.258982</f>
        <v>2.9251579999999997</v>
      </c>
      <c r="L17" s="277">
        <f>8550/1.2</f>
        <v>7125</v>
      </c>
      <c r="M17" s="277">
        <f>W17*6.9814/100</f>
        <v>0</v>
      </c>
      <c r="N17" s="277">
        <f>W17*3.1461/100</f>
        <v>0</v>
      </c>
      <c r="O17" s="279"/>
      <c r="P17" s="279"/>
      <c r="Q17" s="279"/>
      <c r="R17" s="279"/>
      <c r="S17" s="279"/>
      <c r="T17" s="277">
        <f>W17-N17-M17</f>
        <v>0</v>
      </c>
      <c r="U17" s="279"/>
      <c r="V17" s="279"/>
      <c r="W17" s="277">
        <v>0</v>
      </c>
      <c r="X17" s="278"/>
    </row>
    <row r="18" spans="1:24" ht="36.75" customHeight="1" x14ac:dyDescent="0.2">
      <c r="A18" s="157"/>
      <c r="B18" s="73" t="s">
        <v>313</v>
      </c>
      <c r="C18" s="281"/>
      <c r="D18" s="281"/>
      <c r="E18" s="281"/>
      <c r="F18" s="281"/>
      <c r="G18" s="165"/>
      <c r="H18" s="165"/>
      <c r="I18" s="165"/>
      <c r="J18" s="280"/>
      <c r="K18" s="155"/>
      <c r="L18" s="277"/>
      <c r="M18" s="277"/>
      <c r="N18" s="277"/>
      <c r="O18" s="279"/>
      <c r="P18" s="279"/>
      <c r="Q18" s="279"/>
      <c r="R18" s="279"/>
      <c r="S18" s="279"/>
      <c r="T18" s="277"/>
      <c r="U18" s="279"/>
      <c r="V18" s="279"/>
      <c r="W18" s="277"/>
      <c r="X18" s="278"/>
    </row>
    <row r="19" spans="1:24" ht="33.75" customHeight="1" x14ac:dyDescent="0.2">
      <c r="A19" s="157"/>
      <c r="B19" s="74" t="s">
        <v>307</v>
      </c>
      <c r="C19" s="281"/>
      <c r="D19" s="281"/>
      <c r="E19" s="281"/>
      <c r="F19" s="281"/>
      <c r="G19" s="70">
        <v>80</v>
      </c>
      <c r="H19" s="70">
        <v>13.2</v>
      </c>
      <c r="I19" s="70">
        <f>27*2/1000</f>
        <v>5.3999999999999999E-2</v>
      </c>
      <c r="J19" s="62" t="s">
        <v>297</v>
      </c>
      <c r="K19" s="155"/>
      <c r="L19" s="277"/>
      <c r="M19" s="277"/>
      <c r="N19" s="277"/>
      <c r="O19" s="279"/>
      <c r="P19" s="279"/>
      <c r="Q19" s="279"/>
      <c r="R19" s="279"/>
      <c r="S19" s="279"/>
      <c r="T19" s="277"/>
      <c r="U19" s="279"/>
      <c r="V19" s="279"/>
      <c r="W19" s="277"/>
      <c r="X19" s="278"/>
    </row>
    <row r="20" spans="1:24" ht="51" x14ac:dyDescent="0.2">
      <c r="A20" s="157"/>
      <c r="B20" s="73" t="s">
        <v>314</v>
      </c>
      <c r="C20" s="281"/>
      <c r="D20" s="281"/>
      <c r="E20" s="281"/>
      <c r="F20" s="281"/>
      <c r="G20" s="70">
        <v>50</v>
      </c>
      <c r="H20" s="70">
        <v>3.5</v>
      </c>
      <c r="I20" s="70">
        <f>13*2/1000</f>
        <v>2.5999999999999999E-2</v>
      </c>
      <c r="J20" s="62" t="s">
        <v>297</v>
      </c>
      <c r="K20" s="155"/>
      <c r="L20" s="277"/>
      <c r="M20" s="277"/>
      <c r="N20" s="277"/>
      <c r="O20" s="279"/>
      <c r="P20" s="279"/>
      <c r="Q20" s="279"/>
      <c r="R20" s="279"/>
      <c r="S20" s="279"/>
      <c r="T20" s="277"/>
      <c r="U20" s="279"/>
      <c r="V20" s="279"/>
      <c r="W20" s="277"/>
      <c r="X20" s="278"/>
    </row>
    <row r="21" spans="1:24" ht="33" customHeight="1" x14ac:dyDescent="0.2">
      <c r="A21" s="157"/>
      <c r="B21" s="171" t="s">
        <v>315</v>
      </c>
      <c r="C21" s="281"/>
      <c r="D21" s="281"/>
      <c r="E21" s="281"/>
      <c r="F21" s="281"/>
      <c r="G21" s="70">
        <v>50</v>
      </c>
      <c r="H21" s="70">
        <v>3.5</v>
      </c>
      <c r="I21" s="70">
        <f>16*2/1000</f>
        <v>3.2000000000000001E-2</v>
      </c>
      <c r="J21" s="62" t="s">
        <v>297</v>
      </c>
      <c r="K21" s="155"/>
      <c r="L21" s="277"/>
      <c r="M21" s="277"/>
      <c r="N21" s="277"/>
      <c r="O21" s="279"/>
      <c r="P21" s="279"/>
      <c r="Q21" s="279"/>
      <c r="R21" s="279"/>
      <c r="S21" s="279"/>
      <c r="T21" s="277"/>
      <c r="U21" s="279"/>
      <c r="V21" s="279"/>
      <c r="W21" s="277"/>
      <c r="X21" s="278"/>
    </row>
    <row r="22" spans="1:24" ht="33" customHeight="1" x14ac:dyDescent="0.2">
      <c r="A22" s="158"/>
      <c r="B22" s="171"/>
      <c r="C22" s="281"/>
      <c r="D22" s="281"/>
      <c r="E22" s="281"/>
      <c r="F22" s="281"/>
      <c r="G22" s="70">
        <v>25</v>
      </c>
      <c r="H22" s="70">
        <v>0.68</v>
      </c>
      <c r="I22" s="70">
        <f>6.5*2/1000</f>
        <v>1.2999999999999999E-2</v>
      </c>
      <c r="J22" s="62" t="s">
        <v>297</v>
      </c>
      <c r="K22" s="155"/>
      <c r="L22" s="277"/>
      <c r="M22" s="277"/>
      <c r="N22" s="277"/>
      <c r="O22" s="279"/>
      <c r="P22" s="279"/>
      <c r="Q22" s="279"/>
      <c r="R22" s="279"/>
      <c r="S22" s="279"/>
      <c r="T22" s="277"/>
      <c r="U22" s="279"/>
      <c r="V22" s="279"/>
      <c r="W22" s="277"/>
      <c r="X22" s="278"/>
    </row>
    <row r="23" spans="1:24" ht="51" customHeight="1" x14ac:dyDescent="0.2">
      <c r="A23" s="156" t="s">
        <v>370</v>
      </c>
      <c r="B23" s="44" t="s">
        <v>310</v>
      </c>
      <c r="C23" s="281" t="s">
        <v>211</v>
      </c>
      <c r="D23" s="281"/>
      <c r="E23" s="281" t="s">
        <v>211</v>
      </c>
      <c r="F23" s="281"/>
      <c r="G23" s="165">
        <v>150</v>
      </c>
      <c r="H23" s="165">
        <v>64</v>
      </c>
      <c r="I23" s="165">
        <f>29.2*2/1000</f>
        <v>5.8400000000000001E-2</v>
      </c>
      <c r="J23" s="280" t="s">
        <v>297</v>
      </c>
      <c r="K23" s="155">
        <f>K13-0.258982-0.04615-0.255461-0.03025-0.0074</f>
        <v>2.5858969999999997</v>
      </c>
      <c r="L23" s="277">
        <f>8892/1.2</f>
        <v>7410</v>
      </c>
      <c r="M23" s="277">
        <v>0</v>
      </c>
      <c r="N23" s="277">
        <v>0</v>
      </c>
      <c r="O23" s="279"/>
      <c r="P23" s="279"/>
      <c r="Q23" s="279"/>
      <c r="R23" s="279"/>
      <c r="S23" s="279"/>
      <c r="T23" s="277">
        <v>0</v>
      </c>
      <c r="U23" s="279"/>
      <c r="V23" s="279"/>
      <c r="W23" s="277">
        <v>0</v>
      </c>
      <c r="X23" s="279"/>
    </row>
    <row r="24" spans="1:24" ht="53.25" customHeight="1" x14ac:dyDescent="0.2">
      <c r="A24" s="157"/>
      <c r="B24" s="73" t="s">
        <v>365</v>
      </c>
      <c r="C24" s="281"/>
      <c r="D24" s="281"/>
      <c r="E24" s="281"/>
      <c r="F24" s="281"/>
      <c r="G24" s="165"/>
      <c r="H24" s="165"/>
      <c r="I24" s="165"/>
      <c r="J24" s="280"/>
      <c r="K24" s="155"/>
      <c r="L24" s="277"/>
      <c r="M24" s="277"/>
      <c r="N24" s="277"/>
      <c r="O24" s="279"/>
      <c r="P24" s="279"/>
      <c r="Q24" s="279"/>
      <c r="R24" s="279"/>
      <c r="S24" s="279"/>
      <c r="T24" s="277"/>
      <c r="U24" s="279"/>
      <c r="V24" s="279"/>
      <c r="W24" s="277"/>
      <c r="X24" s="279"/>
    </row>
    <row r="25" spans="1:24" ht="33" customHeight="1" x14ac:dyDescent="0.2">
      <c r="A25" s="158"/>
      <c r="B25" s="73" t="s">
        <v>309</v>
      </c>
      <c r="C25" s="281"/>
      <c r="D25" s="281"/>
      <c r="E25" s="281"/>
      <c r="F25" s="281"/>
      <c r="G25" s="70">
        <v>150</v>
      </c>
      <c r="H25" s="70">
        <v>64</v>
      </c>
      <c r="I25" s="70">
        <f>61.2*2/1000</f>
        <v>0.12240000000000001</v>
      </c>
      <c r="J25" s="63" t="s">
        <v>297</v>
      </c>
      <c r="K25" s="155"/>
      <c r="L25" s="277"/>
      <c r="M25" s="277"/>
      <c r="N25" s="277"/>
      <c r="O25" s="279"/>
      <c r="P25" s="279"/>
      <c r="Q25" s="279"/>
      <c r="R25" s="279"/>
      <c r="S25" s="279"/>
      <c r="T25" s="277"/>
      <c r="U25" s="279"/>
      <c r="V25" s="279"/>
      <c r="W25" s="277"/>
      <c r="X25" s="279"/>
    </row>
    <row r="26" spans="1:24" ht="63.75" customHeight="1" x14ac:dyDescent="0.2">
      <c r="A26" s="156" t="s">
        <v>371</v>
      </c>
      <c r="B26" s="44" t="s">
        <v>316</v>
      </c>
      <c r="C26" s="281" t="s">
        <v>211</v>
      </c>
      <c r="D26" s="281"/>
      <c r="E26" s="281" t="s">
        <v>214</v>
      </c>
      <c r="F26" s="281"/>
      <c r="G26" s="278">
        <v>150</v>
      </c>
      <c r="H26" s="279">
        <v>64</v>
      </c>
      <c r="I26" s="278">
        <f>94.8*2/1000</f>
        <v>0.18959999999999999</v>
      </c>
      <c r="J26" s="283" t="s">
        <v>297</v>
      </c>
      <c r="K26" s="155">
        <f>K23</f>
        <v>2.5858969999999997</v>
      </c>
      <c r="L26" s="277">
        <f>9247.68/1.2</f>
        <v>7706.4000000000005</v>
      </c>
      <c r="M26" s="277">
        <v>0</v>
      </c>
      <c r="N26" s="277">
        <v>0</v>
      </c>
      <c r="O26" s="279"/>
      <c r="P26" s="279"/>
      <c r="Q26" s="279"/>
      <c r="R26" s="279"/>
      <c r="S26" s="279"/>
      <c r="T26" s="277">
        <v>0</v>
      </c>
      <c r="U26" s="279"/>
      <c r="V26" s="279"/>
      <c r="W26" s="277">
        <v>0</v>
      </c>
      <c r="X26" s="279"/>
    </row>
    <row r="27" spans="1:24" ht="53.25" customHeight="1" x14ac:dyDescent="0.2">
      <c r="A27" s="158"/>
      <c r="B27" s="75" t="s">
        <v>317</v>
      </c>
      <c r="C27" s="281"/>
      <c r="D27" s="281"/>
      <c r="E27" s="281"/>
      <c r="F27" s="281"/>
      <c r="G27" s="278"/>
      <c r="H27" s="279"/>
      <c r="I27" s="278"/>
      <c r="J27" s="283"/>
      <c r="K27" s="155"/>
      <c r="L27" s="277"/>
      <c r="M27" s="277"/>
      <c r="N27" s="277"/>
      <c r="O27" s="279"/>
      <c r="P27" s="279"/>
      <c r="Q27" s="279"/>
      <c r="R27" s="279"/>
      <c r="S27" s="279"/>
      <c r="T27" s="277"/>
      <c r="U27" s="279"/>
      <c r="V27" s="279"/>
      <c r="W27" s="277"/>
      <c r="X27" s="279"/>
    </row>
    <row r="28" spans="1:24" ht="51.75" customHeight="1" x14ac:dyDescent="0.2">
      <c r="A28" s="156" t="s">
        <v>372</v>
      </c>
      <c r="B28" s="44" t="s">
        <v>322</v>
      </c>
      <c r="C28" s="281" t="s">
        <v>212</v>
      </c>
      <c r="D28" s="281"/>
      <c r="E28" s="281" t="s">
        <v>212</v>
      </c>
      <c r="F28" s="281"/>
      <c r="G28" s="165">
        <v>150</v>
      </c>
      <c r="H28" s="165">
        <v>64</v>
      </c>
      <c r="I28" s="165">
        <f>30.5*2/1000</f>
        <v>6.0999999999999999E-2</v>
      </c>
      <c r="J28" s="280" t="s">
        <v>297</v>
      </c>
      <c r="K28" s="155">
        <f>K26-0-0.43702-0.13501-0.34507</f>
        <v>1.6687969999999999</v>
      </c>
      <c r="L28" s="277">
        <f>9616.8/1.2</f>
        <v>8014</v>
      </c>
      <c r="M28" s="277">
        <v>0</v>
      </c>
      <c r="N28" s="277">
        <v>0</v>
      </c>
      <c r="O28" s="279"/>
      <c r="P28" s="279"/>
      <c r="Q28" s="279"/>
      <c r="R28" s="279"/>
      <c r="S28" s="279"/>
      <c r="T28" s="277">
        <v>0</v>
      </c>
      <c r="U28" s="279"/>
      <c r="V28" s="279"/>
      <c r="W28" s="277">
        <v>0</v>
      </c>
      <c r="X28" s="278"/>
    </row>
    <row r="29" spans="1:24" ht="39.75" customHeight="1" x14ac:dyDescent="0.2">
      <c r="A29" s="157"/>
      <c r="B29" s="75" t="s">
        <v>318</v>
      </c>
      <c r="C29" s="281"/>
      <c r="D29" s="281"/>
      <c r="E29" s="281"/>
      <c r="F29" s="281"/>
      <c r="G29" s="165"/>
      <c r="H29" s="165"/>
      <c r="I29" s="165"/>
      <c r="J29" s="280"/>
      <c r="K29" s="155"/>
      <c r="L29" s="277"/>
      <c r="M29" s="277"/>
      <c r="N29" s="277"/>
      <c r="O29" s="279"/>
      <c r="P29" s="279"/>
      <c r="Q29" s="279"/>
      <c r="R29" s="279"/>
      <c r="S29" s="279"/>
      <c r="T29" s="277"/>
      <c r="U29" s="279"/>
      <c r="V29" s="279"/>
      <c r="W29" s="277"/>
      <c r="X29" s="278"/>
    </row>
    <row r="30" spans="1:24" ht="33" customHeight="1" x14ac:dyDescent="0.2">
      <c r="A30" s="157"/>
      <c r="B30" s="75" t="s">
        <v>319</v>
      </c>
      <c r="C30" s="281"/>
      <c r="D30" s="281"/>
      <c r="E30" s="281"/>
      <c r="F30" s="281"/>
      <c r="G30" s="70">
        <v>80</v>
      </c>
      <c r="H30" s="70">
        <v>13.2</v>
      </c>
      <c r="I30" s="70">
        <f>9*2/1000</f>
        <v>1.7999999999999999E-2</v>
      </c>
      <c r="J30" s="62" t="s">
        <v>297</v>
      </c>
      <c r="K30" s="155"/>
      <c r="L30" s="277"/>
      <c r="M30" s="277"/>
      <c r="N30" s="277"/>
      <c r="O30" s="279"/>
      <c r="P30" s="279"/>
      <c r="Q30" s="279"/>
      <c r="R30" s="279"/>
      <c r="S30" s="279"/>
      <c r="T30" s="277"/>
      <c r="U30" s="279"/>
      <c r="V30" s="279"/>
      <c r="W30" s="277"/>
      <c r="X30" s="278"/>
    </row>
    <row r="31" spans="1:24" ht="38.25" customHeight="1" x14ac:dyDescent="0.2">
      <c r="A31" s="157"/>
      <c r="B31" s="75" t="s">
        <v>320</v>
      </c>
      <c r="C31" s="281"/>
      <c r="D31" s="281"/>
      <c r="E31" s="281"/>
      <c r="F31" s="281"/>
      <c r="G31" s="70">
        <v>150</v>
      </c>
      <c r="H31" s="70">
        <v>64</v>
      </c>
      <c r="I31" s="70">
        <f>46*2/1000</f>
        <v>9.1999999999999998E-2</v>
      </c>
      <c r="J31" s="62" t="s">
        <v>297</v>
      </c>
      <c r="K31" s="155"/>
      <c r="L31" s="277"/>
      <c r="M31" s="277"/>
      <c r="N31" s="277"/>
      <c r="O31" s="279"/>
      <c r="P31" s="279"/>
      <c r="Q31" s="279"/>
      <c r="R31" s="279"/>
      <c r="S31" s="279"/>
      <c r="T31" s="277"/>
      <c r="U31" s="279"/>
      <c r="V31" s="279"/>
      <c r="W31" s="277"/>
      <c r="X31" s="278"/>
    </row>
    <row r="32" spans="1:24" ht="33" customHeight="1" x14ac:dyDescent="0.2">
      <c r="A32" s="158"/>
      <c r="B32" s="75" t="s">
        <v>321</v>
      </c>
      <c r="C32" s="281"/>
      <c r="D32" s="281"/>
      <c r="E32" s="281"/>
      <c r="F32" s="281"/>
      <c r="G32" s="70">
        <v>150</v>
      </c>
      <c r="H32" s="70">
        <v>64</v>
      </c>
      <c r="I32" s="70">
        <f>12.1*2/1000</f>
        <v>2.4199999999999999E-2</v>
      </c>
      <c r="J32" s="62" t="s">
        <v>297</v>
      </c>
      <c r="K32" s="155"/>
      <c r="L32" s="277"/>
      <c r="M32" s="277"/>
      <c r="N32" s="277"/>
      <c r="O32" s="279"/>
      <c r="P32" s="279"/>
      <c r="Q32" s="279"/>
      <c r="R32" s="279"/>
      <c r="S32" s="279"/>
      <c r="T32" s="277"/>
      <c r="U32" s="279"/>
      <c r="V32" s="279"/>
      <c r="W32" s="277"/>
      <c r="X32" s="278"/>
    </row>
    <row r="33" spans="1:24" ht="63.75" customHeight="1" x14ac:dyDescent="0.2">
      <c r="A33" s="156" t="s">
        <v>373</v>
      </c>
      <c r="B33" s="44" t="s">
        <v>325</v>
      </c>
      <c r="C33" s="281" t="s">
        <v>212</v>
      </c>
      <c r="D33" s="281"/>
      <c r="E33" s="281" t="s">
        <v>258</v>
      </c>
      <c r="F33" s="281"/>
      <c r="G33" s="165">
        <v>150</v>
      </c>
      <c r="H33" s="165">
        <v>64</v>
      </c>
      <c r="I33" s="165">
        <f>12.9*2/1000</f>
        <v>2.58E-2</v>
      </c>
      <c r="J33" s="280" t="s">
        <v>297</v>
      </c>
      <c r="K33" s="155">
        <f>K28-0.338097</f>
        <v>1.3306999999999998</v>
      </c>
      <c r="L33" s="277">
        <f>10002/1.2</f>
        <v>8335</v>
      </c>
      <c r="M33" s="277">
        <v>0</v>
      </c>
      <c r="N33" s="277">
        <v>0</v>
      </c>
      <c r="O33" s="279"/>
      <c r="P33" s="279"/>
      <c r="Q33" s="279"/>
      <c r="R33" s="279"/>
      <c r="S33" s="279"/>
      <c r="T33" s="277">
        <v>0</v>
      </c>
      <c r="U33" s="279"/>
      <c r="V33" s="279"/>
      <c r="W33" s="277">
        <v>0</v>
      </c>
      <c r="X33" s="278"/>
    </row>
    <row r="34" spans="1:24" ht="33" customHeight="1" x14ac:dyDescent="0.2">
      <c r="A34" s="157"/>
      <c r="B34" s="75" t="s">
        <v>323</v>
      </c>
      <c r="C34" s="281"/>
      <c r="D34" s="281"/>
      <c r="E34" s="281"/>
      <c r="F34" s="281"/>
      <c r="G34" s="165"/>
      <c r="H34" s="165"/>
      <c r="I34" s="165"/>
      <c r="J34" s="280"/>
      <c r="K34" s="155"/>
      <c r="L34" s="277"/>
      <c r="M34" s="277"/>
      <c r="N34" s="277"/>
      <c r="O34" s="279"/>
      <c r="P34" s="279"/>
      <c r="Q34" s="279"/>
      <c r="R34" s="279"/>
      <c r="S34" s="279"/>
      <c r="T34" s="277"/>
      <c r="U34" s="279"/>
      <c r="V34" s="279"/>
      <c r="W34" s="277"/>
      <c r="X34" s="278"/>
    </row>
    <row r="35" spans="1:24" ht="33" customHeight="1" x14ac:dyDescent="0.2">
      <c r="A35" s="158"/>
      <c r="B35" s="75" t="s">
        <v>324</v>
      </c>
      <c r="C35" s="281"/>
      <c r="D35" s="281"/>
      <c r="E35" s="281"/>
      <c r="F35" s="281"/>
      <c r="G35" s="70">
        <v>150</v>
      </c>
      <c r="H35" s="70">
        <v>64</v>
      </c>
      <c r="I35" s="70">
        <f>82*2/1000</f>
        <v>0.16400000000000001</v>
      </c>
      <c r="J35" s="62" t="s">
        <v>297</v>
      </c>
      <c r="K35" s="155"/>
      <c r="L35" s="277"/>
      <c r="M35" s="277"/>
      <c r="N35" s="277"/>
      <c r="O35" s="279"/>
      <c r="P35" s="279"/>
      <c r="Q35" s="279"/>
      <c r="R35" s="279"/>
      <c r="S35" s="279"/>
      <c r="T35" s="277"/>
      <c r="U35" s="279"/>
      <c r="V35" s="279"/>
      <c r="W35" s="277"/>
      <c r="X35" s="278"/>
    </row>
    <row r="36" spans="1:24" ht="63.75" customHeight="1" x14ac:dyDescent="0.2">
      <c r="A36" s="156" t="s">
        <v>374</v>
      </c>
      <c r="B36" s="44" t="s">
        <v>332</v>
      </c>
      <c r="C36" s="281" t="s">
        <v>210</v>
      </c>
      <c r="D36" s="281"/>
      <c r="E36" s="281" t="s">
        <v>210</v>
      </c>
      <c r="F36" s="281"/>
      <c r="G36" s="165">
        <v>150</v>
      </c>
      <c r="H36" s="165">
        <v>64</v>
      </c>
      <c r="I36" s="165">
        <f>6*2/1000</f>
        <v>1.2E-2</v>
      </c>
      <c r="J36" s="280" t="s">
        <v>297</v>
      </c>
      <c r="K36" s="167">
        <f>K33</f>
        <v>1.3306999999999998</v>
      </c>
      <c r="L36" s="277">
        <f>10401.6/1.2</f>
        <v>8668</v>
      </c>
      <c r="M36" s="277">
        <v>0</v>
      </c>
      <c r="N36" s="277">
        <v>0</v>
      </c>
      <c r="O36" s="279"/>
      <c r="P36" s="279"/>
      <c r="Q36" s="279"/>
      <c r="R36" s="279"/>
      <c r="S36" s="279"/>
      <c r="T36" s="277">
        <v>0</v>
      </c>
      <c r="U36" s="279"/>
      <c r="V36" s="279"/>
      <c r="W36" s="277">
        <v>0</v>
      </c>
      <c r="X36" s="278"/>
    </row>
    <row r="37" spans="1:24" ht="33" customHeight="1" x14ac:dyDescent="0.2">
      <c r="A37" s="157"/>
      <c r="B37" s="75" t="s">
        <v>326</v>
      </c>
      <c r="C37" s="281"/>
      <c r="D37" s="281"/>
      <c r="E37" s="281"/>
      <c r="F37" s="281"/>
      <c r="G37" s="165"/>
      <c r="H37" s="165"/>
      <c r="I37" s="165"/>
      <c r="J37" s="280"/>
      <c r="K37" s="167"/>
      <c r="L37" s="277"/>
      <c r="M37" s="277"/>
      <c r="N37" s="277"/>
      <c r="O37" s="279"/>
      <c r="P37" s="279"/>
      <c r="Q37" s="279"/>
      <c r="R37" s="279"/>
      <c r="S37" s="279"/>
      <c r="T37" s="277"/>
      <c r="U37" s="279"/>
      <c r="V37" s="279"/>
      <c r="W37" s="277"/>
      <c r="X37" s="278"/>
    </row>
    <row r="38" spans="1:24" ht="33" customHeight="1" x14ac:dyDescent="0.2">
      <c r="A38" s="157"/>
      <c r="B38" s="75" t="s">
        <v>327</v>
      </c>
      <c r="C38" s="281"/>
      <c r="D38" s="281"/>
      <c r="E38" s="281"/>
      <c r="F38" s="281"/>
      <c r="G38" s="70">
        <v>50</v>
      </c>
      <c r="H38" s="70">
        <v>3.5</v>
      </c>
      <c r="I38" s="70">
        <f>8*2/1000</f>
        <v>1.6E-2</v>
      </c>
      <c r="J38" s="62" t="s">
        <v>297</v>
      </c>
      <c r="K38" s="76">
        <v>0.32</v>
      </c>
      <c r="L38" s="277"/>
      <c r="M38" s="277"/>
      <c r="N38" s="277"/>
      <c r="O38" s="279"/>
      <c r="P38" s="279"/>
      <c r="Q38" s="279"/>
      <c r="R38" s="279"/>
      <c r="S38" s="279"/>
      <c r="T38" s="277"/>
      <c r="U38" s="279"/>
      <c r="V38" s="279"/>
      <c r="W38" s="277"/>
      <c r="X38" s="278"/>
    </row>
    <row r="39" spans="1:24" ht="33" customHeight="1" x14ac:dyDescent="0.2">
      <c r="A39" s="157"/>
      <c r="B39" s="171" t="s">
        <v>328</v>
      </c>
      <c r="C39" s="281"/>
      <c r="D39" s="281"/>
      <c r="E39" s="281"/>
      <c r="F39" s="281"/>
      <c r="G39" s="70">
        <v>100</v>
      </c>
      <c r="H39" s="70">
        <v>22</v>
      </c>
      <c r="I39" s="70">
        <f>9*2/1000</f>
        <v>1.7999999999999999E-2</v>
      </c>
      <c r="J39" s="62" t="s">
        <v>297</v>
      </c>
      <c r="K39" s="155">
        <f>0.43702+0.05+0.34507+0.13501</f>
        <v>0.96709999999999996</v>
      </c>
      <c r="L39" s="277"/>
      <c r="M39" s="277"/>
      <c r="N39" s="277"/>
      <c r="O39" s="279"/>
      <c r="P39" s="279"/>
      <c r="Q39" s="279"/>
      <c r="R39" s="279"/>
      <c r="S39" s="279"/>
      <c r="T39" s="277"/>
      <c r="U39" s="279"/>
      <c r="V39" s="279"/>
      <c r="W39" s="277"/>
      <c r="X39" s="278"/>
    </row>
    <row r="40" spans="1:24" ht="33" customHeight="1" x14ac:dyDescent="0.2">
      <c r="A40" s="157"/>
      <c r="B40" s="171"/>
      <c r="C40" s="281"/>
      <c r="D40" s="281"/>
      <c r="E40" s="281"/>
      <c r="F40" s="281"/>
      <c r="G40" s="70">
        <v>100</v>
      </c>
      <c r="H40" s="70">
        <v>22</v>
      </c>
      <c r="I40" s="70">
        <f>6*2/1000</f>
        <v>1.2E-2</v>
      </c>
      <c r="J40" s="62" t="s">
        <v>297</v>
      </c>
      <c r="K40" s="155"/>
      <c r="L40" s="277"/>
      <c r="M40" s="277"/>
      <c r="N40" s="277"/>
      <c r="O40" s="279"/>
      <c r="P40" s="279"/>
      <c r="Q40" s="279"/>
      <c r="R40" s="279"/>
      <c r="S40" s="279"/>
      <c r="T40" s="277"/>
      <c r="U40" s="279"/>
      <c r="V40" s="279"/>
      <c r="W40" s="277"/>
      <c r="X40" s="278"/>
    </row>
    <row r="41" spans="1:24" ht="33" customHeight="1" x14ac:dyDescent="0.2">
      <c r="A41" s="157"/>
      <c r="B41" s="171"/>
      <c r="C41" s="281"/>
      <c r="D41" s="281"/>
      <c r="E41" s="281"/>
      <c r="F41" s="281"/>
      <c r="G41" s="70">
        <v>50</v>
      </c>
      <c r="H41" s="70">
        <v>3.5</v>
      </c>
      <c r="I41" s="70">
        <f>3*2/1000</f>
        <v>6.0000000000000001E-3</v>
      </c>
      <c r="J41" s="62" t="s">
        <v>297</v>
      </c>
      <c r="K41" s="155"/>
      <c r="L41" s="277"/>
      <c r="M41" s="277"/>
      <c r="N41" s="277"/>
      <c r="O41" s="279"/>
      <c r="P41" s="279"/>
      <c r="Q41" s="279"/>
      <c r="R41" s="279"/>
      <c r="S41" s="279"/>
      <c r="T41" s="277"/>
      <c r="U41" s="279"/>
      <c r="V41" s="279"/>
      <c r="W41" s="277"/>
      <c r="X41" s="278"/>
    </row>
    <row r="42" spans="1:24" ht="33" customHeight="1" x14ac:dyDescent="0.2">
      <c r="A42" s="157"/>
      <c r="B42" s="171"/>
      <c r="C42" s="281"/>
      <c r="D42" s="281"/>
      <c r="E42" s="281"/>
      <c r="F42" s="281"/>
      <c r="G42" s="70">
        <v>100</v>
      </c>
      <c r="H42" s="70">
        <v>22</v>
      </c>
      <c r="I42" s="70">
        <f>19*2/1000</f>
        <v>3.7999999999999999E-2</v>
      </c>
      <c r="J42" s="62" t="s">
        <v>297</v>
      </c>
      <c r="K42" s="155"/>
      <c r="L42" s="277"/>
      <c r="M42" s="277"/>
      <c r="N42" s="277"/>
      <c r="O42" s="279"/>
      <c r="P42" s="279"/>
      <c r="Q42" s="279"/>
      <c r="R42" s="279"/>
      <c r="S42" s="279"/>
      <c r="T42" s="277"/>
      <c r="U42" s="279"/>
      <c r="V42" s="279"/>
      <c r="W42" s="277"/>
      <c r="X42" s="278"/>
    </row>
    <row r="43" spans="1:24" ht="33" customHeight="1" x14ac:dyDescent="0.2">
      <c r="A43" s="157"/>
      <c r="B43" s="171"/>
      <c r="C43" s="281"/>
      <c r="D43" s="281"/>
      <c r="E43" s="281"/>
      <c r="F43" s="281"/>
      <c r="G43" s="70">
        <v>100</v>
      </c>
      <c r="H43" s="70">
        <v>22</v>
      </c>
      <c r="I43" s="70">
        <f>11*2/1000</f>
        <v>2.1999999999999999E-2</v>
      </c>
      <c r="J43" s="62" t="s">
        <v>297</v>
      </c>
      <c r="K43" s="155"/>
      <c r="L43" s="277"/>
      <c r="M43" s="277"/>
      <c r="N43" s="277"/>
      <c r="O43" s="279"/>
      <c r="P43" s="279"/>
      <c r="Q43" s="279"/>
      <c r="R43" s="279"/>
      <c r="S43" s="279"/>
      <c r="T43" s="277"/>
      <c r="U43" s="279"/>
      <c r="V43" s="279"/>
      <c r="W43" s="277"/>
      <c r="X43" s="278"/>
    </row>
    <row r="44" spans="1:24" ht="33" customHeight="1" x14ac:dyDescent="0.2">
      <c r="A44" s="157"/>
      <c r="B44" s="75" t="s">
        <v>329</v>
      </c>
      <c r="C44" s="281"/>
      <c r="D44" s="281"/>
      <c r="E44" s="281"/>
      <c r="F44" s="281"/>
      <c r="G44" s="70">
        <v>80</v>
      </c>
      <c r="H44" s="70">
        <v>13.2</v>
      </c>
      <c r="I44" s="70">
        <f>22*2/1000</f>
        <v>4.3999999999999997E-2</v>
      </c>
      <c r="J44" s="62" t="s">
        <v>297</v>
      </c>
      <c r="K44" s="155"/>
      <c r="L44" s="277"/>
      <c r="M44" s="277"/>
      <c r="N44" s="277"/>
      <c r="O44" s="279"/>
      <c r="P44" s="279"/>
      <c r="Q44" s="279"/>
      <c r="R44" s="279"/>
      <c r="S44" s="279"/>
      <c r="T44" s="277"/>
      <c r="U44" s="279"/>
      <c r="V44" s="279"/>
      <c r="W44" s="277"/>
      <c r="X44" s="278"/>
    </row>
    <row r="45" spans="1:24" ht="33" customHeight="1" x14ac:dyDescent="0.2">
      <c r="A45" s="157"/>
      <c r="B45" s="282" t="s">
        <v>330</v>
      </c>
      <c r="C45" s="281"/>
      <c r="D45" s="281"/>
      <c r="E45" s="281"/>
      <c r="F45" s="281"/>
      <c r="G45" s="70">
        <v>80</v>
      </c>
      <c r="H45" s="70">
        <v>13.2</v>
      </c>
      <c r="I45" s="70">
        <f>29*2/1000</f>
        <v>5.8000000000000003E-2</v>
      </c>
      <c r="J45" s="62" t="s">
        <v>297</v>
      </c>
      <c r="K45" s="155"/>
      <c r="L45" s="277"/>
      <c r="M45" s="277"/>
      <c r="N45" s="277"/>
      <c r="O45" s="279"/>
      <c r="P45" s="279"/>
      <c r="Q45" s="279"/>
      <c r="R45" s="279"/>
      <c r="S45" s="279"/>
      <c r="T45" s="277"/>
      <c r="U45" s="279"/>
      <c r="V45" s="279"/>
      <c r="W45" s="277"/>
      <c r="X45" s="278"/>
    </row>
    <row r="46" spans="1:24" ht="33" customHeight="1" x14ac:dyDescent="0.2">
      <c r="A46" s="157"/>
      <c r="B46" s="282"/>
      <c r="C46" s="281"/>
      <c r="D46" s="281"/>
      <c r="E46" s="281"/>
      <c r="F46" s="281"/>
      <c r="G46" s="70">
        <v>80</v>
      </c>
      <c r="H46" s="70">
        <v>13.2</v>
      </c>
      <c r="I46" s="70">
        <f>7*2/1000</f>
        <v>1.4E-2</v>
      </c>
      <c r="J46" s="62" t="s">
        <v>297</v>
      </c>
      <c r="K46" s="155"/>
      <c r="L46" s="277"/>
      <c r="M46" s="277"/>
      <c r="N46" s="277"/>
      <c r="O46" s="279"/>
      <c r="P46" s="279"/>
      <c r="Q46" s="279"/>
      <c r="R46" s="279"/>
      <c r="S46" s="279"/>
      <c r="T46" s="277"/>
      <c r="U46" s="279"/>
      <c r="V46" s="279"/>
      <c r="W46" s="277"/>
      <c r="X46" s="278"/>
    </row>
    <row r="47" spans="1:24" ht="33" customHeight="1" x14ac:dyDescent="0.2">
      <c r="A47" s="158"/>
      <c r="B47" s="73" t="s">
        <v>331</v>
      </c>
      <c r="C47" s="281"/>
      <c r="D47" s="281"/>
      <c r="E47" s="281"/>
      <c r="F47" s="281"/>
      <c r="G47" s="70">
        <v>80</v>
      </c>
      <c r="H47" s="70">
        <v>13.2</v>
      </c>
      <c r="I47" s="70">
        <f>16.5*2/1000</f>
        <v>3.3000000000000002E-2</v>
      </c>
      <c r="J47" s="62" t="s">
        <v>297</v>
      </c>
      <c r="K47" s="155"/>
      <c r="L47" s="277"/>
      <c r="M47" s="277"/>
      <c r="N47" s="277"/>
      <c r="O47" s="279"/>
      <c r="P47" s="279"/>
      <c r="Q47" s="279"/>
      <c r="R47" s="279"/>
      <c r="S47" s="279"/>
      <c r="T47" s="277"/>
      <c r="U47" s="279"/>
      <c r="V47" s="279"/>
      <c r="W47" s="277"/>
      <c r="X47" s="278"/>
    </row>
    <row r="48" spans="1:24" ht="52.5" customHeight="1" x14ac:dyDescent="0.2">
      <c r="A48" s="156" t="s">
        <v>375</v>
      </c>
      <c r="B48" s="44" t="s">
        <v>335</v>
      </c>
      <c r="C48" s="281" t="s">
        <v>281</v>
      </c>
      <c r="D48" s="281"/>
      <c r="E48" s="281" t="s">
        <v>281</v>
      </c>
      <c r="F48" s="281"/>
      <c r="G48" s="165">
        <v>200</v>
      </c>
      <c r="H48" s="165">
        <v>152</v>
      </c>
      <c r="I48" s="165">
        <f>29*2/100</f>
        <v>0.57999999999999996</v>
      </c>
      <c r="J48" s="280" t="s">
        <v>297</v>
      </c>
      <c r="K48" s="155">
        <f>0.09802+0.0228+0.03247+0.07537+0.02706+0.03724+0.02954+0.00503+0.0023+0.09138+0.01643+0.0747+0.1061+0.01812+0.04378+0.11426+0.22108+0.00227+0.05202+0.011+0.0479+0.39374+0.39113+0.04674+0.7062+0.06661+0.38592</f>
        <v>3.1192099999999998</v>
      </c>
      <c r="L48" s="277">
        <f>10818/1.2</f>
        <v>9015</v>
      </c>
      <c r="M48" s="277">
        <v>0</v>
      </c>
      <c r="N48" s="277">
        <v>0</v>
      </c>
      <c r="O48" s="279"/>
      <c r="P48" s="279"/>
      <c r="Q48" s="279"/>
      <c r="R48" s="279"/>
      <c r="S48" s="279"/>
      <c r="T48" s="277">
        <v>0</v>
      </c>
      <c r="U48" s="279"/>
      <c r="V48" s="279"/>
      <c r="W48" s="277">
        <v>0</v>
      </c>
      <c r="X48" s="278"/>
    </row>
    <row r="49" spans="1:24" ht="33" customHeight="1" x14ac:dyDescent="0.2">
      <c r="A49" s="157"/>
      <c r="B49" s="75" t="s">
        <v>333</v>
      </c>
      <c r="C49" s="281"/>
      <c r="D49" s="281"/>
      <c r="E49" s="281"/>
      <c r="F49" s="281"/>
      <c r="G49" s="165"/>
      <c r="H49" s="165"/>
      <c r="I49" s="165"/>
      <c r="J49" s="280"/>
      <c r="K49" s="155"/>
      <c r="L49" s="277"/>
      <c r="M49" s="277"/>
      <c r="N49" s="277"/>
      <c r="O49" s="279"/>
      <c r="P49" s="279"/>
      <c r="Q49" s="279"/>
      <c r="R49" s="279"/>
      <c r="S49" s="279"/>
      <c r="T49" s="277"/>
      <c r="U49" s="279"/>
      <c r="V49" s="279"/>
      <c r="W49" s="277"/>
      <c r="X49" s="278"/>
    </row>
    <row r="50" spans="1:24" ht="33" customHeight="1" x14ac:dyDescent="0.2">
      <c r="A50" s="158"/>
      <c r="B50" s="75" t="s">
        <v>334</v>
      </c>
      <c r="C50" s="281"/>
      <c r="D50" s="281"/>
      <c r="E50" s="281"/>
      <c r="F50" s="281"/>
      <c r="G50" s="70">
        <v>200</v>
      </c>
      <c r="H50" s="70">
        <v>152</v>
      </c>
      <c r="I50" s="70">
        <f>119.7*2/1000</f>
        <v>0.2394</v>
      </c>
      <c r="J50" s="64" t="s">
        <v>298</v>
      </c>
      <c r="K50" s="155"/>
      <c r="L50" s="277"/>
      <c r="M50" s="277"/>
      <c r="N50" s="277"/>
      <c r="O50" s="279"/>
      <c r="P50" s="279"/>
      <c r="Q50" s="279"/>
      <c r="R50" s="279"/>
      <c r="S50" s="279"/>
      <c r="T50" s="277"/>
      <c r="U50" s="279"/>
      <c r="V50" s="279"/>
      <c r="W50" s="277"/>
      <c r="X50" s="278"/>
    </row>
    <row r="51" spans="1:24" ht="45" customHeight="1" x14ac:dyDescent="0.2">
      <c r="A51" s="156" t="s">
        <v>376</v>
      </c>
      <c r="B51" s="44" t="s">
        <v>339</v>
      </c>
      <c r="C51" s="281" t="s">
        <v>282</v>
      </c>
      <c r="D51" s="281"/>
      <c r="E51" s="281" t="s">
        <v>282</v>
      </c>
      <c r="F51" s="281"/>
      <c r="G51" s="165">
        <v>200</v>
      </c>
      <c r="H51" s="165">
        <v>152</v>
      </c>
      <c r="I51" s="165">
        <f>57.3*2/1000</f>
        <v>0.11459999999999999</v>
      </c>
      <c r="J51" s="280" t="s">
        <v>298</v>
      </c>
      <c r="K51" s="167">
        <f>K48-0.06661</f>
        <v>3.0526</v>
      </c>
      <c r="L51" s="277">
        <f>11251.2/1.2</f>
        <v>9376.0000000000018</v>
      </c>
      <c r="M51" s="277">
        <v>0</v>
      </c>
      <c r="N51" s="277">
        <v>0</v>
      </c>
      <c r="O51" s="279"/>
      <c r="P51" s="279"/>
      <c r="Q51" s="279"/>
      <c r="R51" s="279"/>
      <c r="S51" s="279"/>
      <c r="T51" s="277">
        <v>0</v>
      </c>
      <c r="U51" s="279"/>
      <c r="V51" s="279"/>
      <c r="W51" s="277">
        <v>0</v>
      </c>
      <c r="X51" s="278"/>
    </row>
    <row r="52" spans="1:24" ht="33" customHeight="1" x14ac:dyDescent="0.2">
      <c r="A52" s="157"/>
      <c r="B52" s="75" t="s">
        <v>336</v>
      </c>
      <c r="C52" s="281"/>
      <c r="D52" s="281"/>
      <c r="E52" s="281"/>
      <c r="F52" s="281"/>
      <c r="G52" s="165"/>
      <c r="H52" s="165"/>
      <c r="I52" s="165"/>
      <c r="J52" s="280"/>
      <c r="K52" s="167"/>
      <c r="L52" s="277"/>
      <c r="M52" s="277"/>
      <c r="N52" s="277"/>
      <c r="O52" s="279"/>
      <c r="P52" s="279"/>
      <c r="Q52" s="279"/>
      <c r="R52" s="279"/>
      <c r="S52" s="279"/>
      <c r="T52" s="277"/>
      <c r="U52" s="279"/>
      <c r="V52" s="279"/>
      <c r="W52" s="277"/>
      <c r="X52" s="278"/>
    </row>
    <row r="53" spans="1:24" ht="33" customHeight="1" x14ac:dyDescent="0.2">
      <c r="A53" s="157"/>
      <c r="B53" s="75" t="s">
        <v>337</v>
      </c>
      <c r="C53" s="281"/>
      <c r="D53" s="281"/>
      <c r="E53" s="281"/>
      <c r="F53" s="281"/>
      <c r="G53" s="70">
        <v>80</v>
      </c>
      <c r="H53" s="70">
        <v>13.2</v>
      </c>
      <c r="I53" s="70">
        <f>67*2/1000</f>
        <v>0.13400000000000001</v>
      </c>
      <c r="J53" s="62" t="s">
        <v>297</v>
      </c>
      <c r="K53" s="76">
        <f>0.38592</f>
        <v>0.38591999999999999</v>
      </c>
      <c r="L53" s="277"/>
      <c r="M53" s="277"/>
      <c r="N53" s="277"/>
      <c r="O53" s="279"/>
      <c r="P53" s="279"/>
      <c r="Q53" s="279"/>
      <c r="R53" s="279"/>
      <c r="S53" s="279"/>
      <c r="T53" s="277"/>
      <c r="U53" s="279"/>
      <c r="V53" s="279"/>
      <c r="W53" s="277"/>
      <c r="X53" s="278"/>
    </row>
    <row r="54" spans="1:24" ht="33" customHeight="1" x14ac:dyDescent="0.2">
      <c r="A54" s="158"/>
      <c r="B54" s="75" t="s">
        <v>338</v>
      </c>
      <c r="C54" s="281"/>
      <c r="D54" s="281"/>
      <c r="E54" s="281"/>
      <c r="F54" s="281"/>
      <c r="G54" s="70">
        <v>200</v>
      </c>
      <c r="H54" s="70">
        <v>152</v>
      </c>
      <c r="I54" s="70">
        <f>17.3*2/1000</f>
        <v>3.4599999999999999E-2</v>
      </c>
      <c r="J54" s="62" t="s">
        <v>297</v>
      </c>
      <c r="K54" s="76">
        <f>K51-K53-0.7062</f>
        <v>1.96048</v>
      </c>
      <c r="L54" s="277"/>
      <c r="M54" s="277"/>
      <c r="N54" s="277"/>
      <c r="O54" s="279"/>
      <c r="P54" s="279"/>
      <c r="Q54" s="279"/>
      <c r="R54" s="279"/>
      <c r="S54" s="279"/>
      <c r="T54" s="277"/>
      <c r="U54" s="279"/>
      <c r="V54" s="279"/>
      <c r="W54" s="277"/>
      <c r="X54" s="278"/>
    </row>
    <row r="55" spans="1:24" ht="45" customHeight="1" x14ac:dyDescent="0.2">
      <c r="A55" s="156" t="s">
        <v>377</v>
      </c>
      <c r="B55" s="44" t="s">
        <v>345</v>
      </c>
      <c r="C55" s="281" t="s">
        <v>282</v>
      </c>
      <c r="D55" s="281"/>
      <c r="E55" s="281" t="s">
        <v>280</v>
      </c>
      <c r="F55" s="281"/>
      <c r="G55" s="165">
        <v>200</v>
      </c>
      <c r="H55" s="165">
        <v>152</v>
      </c>
      <c r="I55" s="165">
        <f>23*2/1000</f>
        <v>4.5999999999999999E-2</v>
      </c>
      <c r="J55" s="280" t="s">
        <v>297</v>
      </c>
      <c r="K55" s="167">
        <f>K54</f>
        <v>1.96048</v>
      </c>
      <c r="L55" s="277">
        <f>11700.72/1.2</f>
        <v>9750.6</v>
      </c>
      <c r="M55" s="277">
        <v>0</v>
      </c>
      <c r="N55" s="277">
        <v>0</v>
      </c>
      <c r="O55" s="279"/>
      <c r="P55" s="279"/>
      <c r="Q55" s="279"/>
      <c r="R55" s="279"/>
      <c r="S55" s="279"/>
      <c r="T55" s="277">
        <v>0</v>
      </c>
      <c r="U55" s="279"/>
      <c r="V55" s="279"/>
      <c r="W55" s="277">
        <v>0</v>
      </c>
      <c r="X55" s="278"/>
    </row>
    <row r="56" spans="1:24" ht="17.25" customHeight="1" x14ac:dyDescent="0.2">
      <c r="A56" s="157"/>
      <c r="B56" s="75" t="s">
        <v>340</v>
      </c>
      <c r="C56" s="281"/>
      <c r="D56" s="281"/>
      <c r="E56" s="281"/>
      <c r="F56" s="281"/>
      <c r="G56" s="165"/>
      <c r="H56" s="165"/>
      <c r="I56" s="165"/>
      <c r="J56" s="280"/>
      <c r="K56" s="167"/>
      <c r="L56" s="277"/>
      <c r="M56" s="277"/>
      <c r="N56" s="277"/>
      <c r="O56" s="279"/>
      <c r="P56" s="279"/>
      <c r="Q56" s="279"/>
      <c r="R56" s="279"/>
      <c r="S56" s="279"/>
      <c r="T56" s="277"/>
      <c r="U56" s="279"/>
      <c r="V56" s="279"/>
      <c r="W56" s="277"/>
      <c r="X56" s="278"/>
    </row>
    <row r="57" spans="1:24" ht="45" x14ac:dyDescent="0.2">
      <c r="A57" s="157"/>
      <c r="B57" s="75" t="s">
        <v>341</v>
      </c>
      <c r="C57" s="281"/>
      <c r="D57" s="281"/>
      <c r="E57" s="281"/>
      <c r="F57" s="281"/>
      <c r="G57" s="70">
        <v>80</v>
      </c>
      <c r="H57" s="70">
        <v>13.2</v>
      </c>
      <c r="I57" s="70">
        <f>63*2/1000</f>
        <v>0.126</v>
      </c>
      <c r="J57" s="62" t="s">
        <v>297</v>
      </c>
      <c r="K57" s="76">
        <f>0.39374</f>
        <v>0.39373999999999998</v>
      </c>
      <c r="L57" s="277"/>
      <c r="M57" s="277"/>
      <c r="N57" s="277"/>
      <c r="O57" s="279"/>
      <c r="P57" s="279"/>
      <c r="Q57" s="279"/>
      <c r="R57" s="279"/>
      <c r="S57" s="279"/>
      <c r="T57" s="277"/>
      <c r="U57" s="279"/>
      <c r="V57" s="279"/>
      <c r="W57" s="277"/>
      <c r="X57" s="278"/>
    </row>
    <row r="58" spans="1:24" ht="45" x14ac:dyDescent="0.2">
      <c r="A58" s="157"/>
      <c r="B58" s="75" t="s">
        <v>342</v>
      </c>
      <c r="C58" s="281"/>
      <c r="D58" s="281"/>
      <c r="E58" s="281"/>
      <c r="F58" s="281"/>
      <c r="G58" s="70">
        <v>50</v>
      </c>
      <c r="H58" s="70">
        <v>3.5</v>
      </c>
      <c r="I58" s="70">
        <f>10*2/1000</f>
        <v>0.02</v>
      </c>
      <c r="J58" s="62" t="s">
        <v>297</v>
      </c>
      <c r="K58" s="155">
        <f>K55-K60-0.04674</f>
        <v>1.12887</v>
      </c>
      <c r="L58" s="277"/>
      <c r="M58" s="277"/>
      <c r="N58" s="277"/>
      <c r="O58" s="279"/>
      <c r="P58" s="279"/>
      <c r="Q58" s="279"/>
      <c r="R58" s="279"/>
      <c r="S58" s="279"/>
      <c r="T58" s="277"/>
      <c r="U58" s="279"/>
      <c r="V58" s="279"/>
      <c r="W58" s="277"/>
      <c r="X58" s="278"/>
    </row>
    <row r="59" spans="1:24" ht="45" x14ac:dyDescent="0.2">
      <c r="A59" s="157"/>
      <c r="B59" s="75" t="s">
        <v>343</v>
      </c>
      <c r="C59" s="281"/>
      <c r="D59" s="281"/>
      <c r="E59" s="281"/>
      <c r="F59" s="281"/>
      <c r="G59" s="70">
        <v>50</v>
      </c>
      <c r="H59" s="70">
        <v>3.5</v>
      </c>
      <c r="I59" s="70">
        <f>10*2/1000</f>
        <v>0.02</v>
      </c>
      <c r="J59" s="62" t="s">
        <v>297</v>
      </c>
      <c r="K59" s="155"/>
      <c r="L59" s="277"/>
      <c r="M59" s="277"/>
      <c r="N59" s="277"/>
      <c r="O59" s="279"/>
      <c r="P59" s="279"/>
      <c r="Q59" s="279"/>
      <c r="R59" s="279"/>
      <c r="S59" s="279"/>
      <c r="T59" s="277"/>
      <c r="U59" s="279"/>
      <c r="V59" s="279"/>
      <c r="W59" s="277"/>
      <c r="X59" s="278"/>
    </row>
    <row r="60" spans="1:24" ht="45" x14ac:dyDescent="0.2">
      <c r="A60" s="158"/>
      <c r="B60" s="75" t="s">
        <v>344</v>
      </c>
      <c r="C60" s="281"/>
      <c r="D60" s="281"/>
      <c r="E60" s="281"/>
      <c r="F60" s="281"/>
      <c r="G60" s="70">
        <v>150</v>
      </c>
      <c r="H60" s="70">
        <v>64</v>
      </c>
      <c r="I60" s="70">
        <f>21.3*2/1000</f>
        <v>4.2599999999999999E-2</v>
      </c>
      <c r="J60" s="62" t="s">
        <v>297</v>
      </c>
      <c r="K60" s="76">
        <f>0.39113+0.39374</f>
        <v>0.78486999999999996</v>
      </c>
      <c r="L60" s="277"/>
      <c r="M60" s="277"/>
      <c r="N60" s="277"/>
      <c r="O60" s="279"/>
      <c r="P60" s="279"/>
      <c r="Q60" s="279"/>
      <c r="R60" s="279"/>
      <c r="S60" s="279"/>
      <c r="T60" s="277"/>
      <c r="U60" s="279"/>
      <c r="V60" s="279"/>
      <c r="W60" s="277"/>
      <c r="X60" s="278"/>
    </row>
    <row r="61" spans="1:24" ht="15" customHeight="1" x14ac:dyDescent="0.2">
      <c r="A61" s="287" t="s">
        <v>285</v>
      </c>
      <c r="B61" s="287"/>
      <c r="C61" s="69" t="s">
        <v>213</v>
      </c>
      <c r="D61" s="69"/>
      <c r="E61" s="69" t="s">
        <v>280</v>
      </c>
      <c r="F61" s="69"/>
      <c r="G61" s="72"/>
      <c r="H61" s="72"/>
      <c r="I61" s="72"/>
      <c r="J61" s="77"/>
      <c r="K61" s="72"/>
      <c r="L61" s="71">
        <f>L12</f>
        <v>82251.000000000015</v>
      </c>
      <c r="M61" s="71">
        <f>M12</f>
        <v>0</v>
      </c>
      <c r="N61" s="71">
        <f>N12</f>
        <v>0</v>
      </c>
      <c r="O61" s="72"/>
      <c r="P61" s="72"/>
      <c r="Q61" s="72"/>
      <c r="R61" s="72"/>
      <c r="S61" s="72"/>
      <c r="T61" s="71">
        <f>T12</f>
        <v>0</v>
      </c>
      <c r="U61" s="72"/>
      <c r="V61" s="72"/>
      <c r="W61" s="72"/>
      <c r="X61" s="77"/>
    </row>
    <row r="62" spans="1:24" ht="15.75" customHeight="1" x14ac:dyDescent="0.2">
      <c r="A62" s="287" t="s">
        <v>286</v>
      </c>
      <c r="B62" s="287"/>
      <c r="C62" s="69" t="s">
        <v>213</v>
      </c>
      <c r="D62" s="69"/>
      <c r="E62" s="69" t="s">
        <v>280</v>
      </c>
      <c r="F62" s="69"/>
      <c r="G62" s="72"/>
      <c r="H62" s="72"/>
      <c r="I62" s="72"/>
      <c r="J62" s="77"/>
      <c r="K62" s="72"/>
      <c r="L62" s="71">
        <f>L61*1.2</f>
        <v>98701.200000000012</v>
      </c>
      <c r="M62" s="71"/>
      <c r="N62" s="71"/>
      <c r="O62" s="72"/>
      <c r="P62" s="72"/>
      <c r="Q62" s="72"/>
      <c r="R62" s="72"/>
      <c r="S62" s="72"/>
      <c r="T62" s="71"/>
      <c r="U62" s="72"/>
      <c r="V62" s="72"/>
      <c r="W62" s="72"/>
      <c r="X62" s="77"/>
    </row>
    <row r="63" spans="1:24" ht="72.75" customHeight="1" x14ac:dyDescent="0.2"/>
    <row r="64" spans="1:24" s="7" customFormat="1" ht="14.25" customHeight="1" x14ac:dyDescent="0.2">
      <c r="B64" s="211" t="s">
        <v>268</v>
      </c>
      <c r="C64" s="211"/>
      <c r="D64" s="211"/>
      <c r="E64" s="211"/>
      <c r="M64" s="141" t="s">
        <v>269</v>
      </c>
      <c r="N64" s="141"/>
      <c r="O64" s="141"/>
    </row>
    <row r="65" spans="2:4" s="3" customFormat="1" ht="24" customHeight="1" x14ac:dyDescent="0.2">
      <c r="B65" s="80" t="s">
        <v>17</v>
      </c>
      <c r="D65" s="79"/>
    </row>
    <row r="66" spans="2:4" ht="9" customHeight="1" x14ac:dyDescent="0.2"/>
  </sheetData>
  <mergeCells count="259">
    <mergeCell ref="A2:X2"/>
    <mergeCell ref="A3:X3"/>
    <mergeCell ref="A4:X4"/>
    <mergeCell ref="C7:C8"/>
    <mergeCell ref="D7:D8"/>
    <mergeCell ref="L7:L8"/>
    <mergeCell ref="X6:X8"/>
    <mergeCell ref="G7:J7"/>
    <mergeCell ref="A62:B62"/>
    <mergeCell ref="X28:X32"/>
    <mergeCell ref="K33:K35"/>
    <mergeCell ref="M33:M35"/>
    <mergeCell ref="N33:N35"/>
    <mergeCell ref="O33:O35"/>
    <mergeCell ref="P33:P35"/>
    <mergeCell ref="Q33:Q35"/>
    <mergeCell ref="R33:R35"/>
    <mergeCell ref="A10:I10"/>
    <mergeCell ref="A11:C11"/>
    <mergeCell ref="A61:B61"/>
    <mergeCell ref="A6:A8"/>
    <mergeCell ref="C6:D6"/>
    <mergeCell ref="E6:F6"/>
    <mergeCell ref="G6:K6"/>
    <mergeCell ref="T26:T27"/>
    <mergeCell ref="U26:U27"/>
    <mergeCell ref="V26:V27"/>
    <mergeCell ref="L33:L35"/>
    <mergeCell ref="X17:X22"/>
    <mergeCell ref="J23:J24"/>
    <mergeCell ref="K23:K25"/>
    <mergeCell ref="L23:L25"/>
    <mergeCell ref="M23:M25"/>
    <mergeCell ref="N23:N25"/>
    <mergeCell ref="O23:O25"/>
    <mergeCell ref="P23:P25"/>
    <mergeCell ref="J26:J27"/>
    <mergeCell ref="X26:X27"/>
    <mergeCell ref="J28:J29"/>
    <mergeCell ref="K28:K32"/>
    <mergeCell ref="L28:L32"/>
    <mergeCell ref="M28:M32"/>
    <mergeCell ref="N28:N32"/>
    <mergeCell ref="O28:O32"/>
    <mergeCell ref="P28:P32"/>
    <mergeCell ref="Q28:Q32"/>
    <mergeCell ref="R28:R32"/>
    <mergeCell ref="S28:S32"/>
    <mergeCell ref="E7:E8"/>
    <mergeCell ref="F7:F8"/>
    <mergeCell ref="B6:B8"/>
    <mergeCell ref="K7:K8"/>
    <mergeCell ref="X13:X16"/>
    <mergeCell ref="T23:T25"/>
    <mergeCell ref="U23:U25"/>
    <mergeCell ref="V23:V25"/>
    <mergeCell ref="W23:W25"/>
    <mergeCell ref="X23:X25"/>
    <mergeCell ref="Q23:Q25"/>
    <mergeCell ref="R23:R25"/>
    <mergeCell ref="S23:S25"/>
    <mergeCell ref="C23:C25"/>
    <mergeCell ref="E23:E25"/>
    <mergeCell ref="D23:D25"/>
    <mergeCell ref="F23:F25"/>
    <mergeCell ref="E13:E16"/>
    <mergeCell ref="D13:D16"/>
    <mergeCell ref="F13:F16"/>
    <mergeCell ref="O13:O16"/>
    <mergeCell ref="P13:P16"/>
    <mergeCell ref="Q13:Q16"/>
    <mergeCell ref="R13:R16"/>
    <mergeCell ref="A51:A54"/>
    <mergeCell ref="C51:C54"/>
    <mergeCell ref="D51:D54"/>
    <mergeCell ref="E51:E54"/>
    <mergeCell ref="F51:F54"/>
    <mergeCell ref="A55:A60"/>
    <mergeCell ref="A48:A50"/>
    <mergeCell ref="C48:C50"/>
    <mergeCell ref="I26:I27"/>
    <mergeCell ref="A28:A32"/>
    <mergeCell ref="C28:C32"/>
    <mergeCell ref="D28:D32"/>
    <mergeCell ref="E28:E32"/>
    <mergeCell ref="F28:F32"/>
    <mergeCell ref="G28:G29"/>
    <mergeCell ref="H28:H29"/>
    <mergeCell ref="I28:I29"/>
    <mergeCell ref="G26:G27"/>
    <mergeCell ref="H26:H27"/>
    <mergeCell ref="A36:A47"/>
    <mergeCell ref="C36:C47"/>
    <mergeCell ref="D36:D47"/>
    <mergeCell ref="E36:E47"/>
    <mergeCell ref="F36:F47"/>
    <mergeCell ref="A23:A25"/>
    <mergeCell ref="G23:G24"/>
    <mergeCell ref="H23:H24"/>
    <mergeCell ref="I23:I24"/>
    <mergeCell ref="E33:E35"/>
    <mergeCell ref="D33:D35"/>
    <mergeCell ref="F33:F35"/>
    <mergeCell ref="T17:T22"/>
    <mergeCell ref="L6:W6"/>
    <mergeCell ref="M7:W7"/>
    <mergeCell ref="W13:W16"/>
    <mergeCell ref="T13:T16"/>
    <mergeCell ref="U13:U16"/>
    <mergeCell ref="V13:V16"/>
    <mergeCell ref="N17:N22"/>
    <mergeCell ref="O17:O22"/>
    <mergeCell ref="P17:P22"/>
    <mergeCell ref="Q17:Q22"/>
    <mergeCell ref="R17:R22"/>
    <mergeCell ref="S17:S22"/>
    <mergeCell ref="U17:U22"/>
    <mergeCell ref="V17:V22"/>
    <mergeCell ref="W17:W22"/>
    <mergeCell ref="C13:C16"/>
    <mergeCell ref="S13:S16"/>
    <mergeCell ref="B21:B22"/>
    <mergeCell ref="A17:A22"/>
    <mergeCell ref="G17:G18"/>
    <mergeCell ref="H17:H18"/>
    <mergeCell ref="I17:I18"/>
    <mergeCell ref="J17:J18"/>
    <mergeCell ref="K17:K22"/>
    <mergeCell ref="L17:L22"/>
    <mergeCell ref="M17:M22"/>
    <mergeCell ref="C17:C22"/>
    <mergeCell ref="E17:E22"/>
    <mergeCell ref="D17:D22"/>
    <mergeCell ref="F17:F22"/>
    <mergeCell ref="A13:A16"/>
    <mergeCell ref="G13:G14"/>
    <mergeCell ref="H13:H14"/>
    <mergeCell ref="I13:I14"/>
    <mergeCell ref="J13:J14"/>
    <mergeCell ref="K13:K16"/>
    <mergeCell ref="L13:L16"/>
    <mergeCell ref="M13:M16"/>
    <mergeCell ref="N13:N16"/>
    <mergeCell ref="T28:T32"/>
    <mergeCell ref="U28:U32"/>
    <mergeCell ref="V28:V32"/>
    <mergeCell ref="W28:W32"/>
    <mergeCell ref="K26:K27"/>
    <mergeCell ref="A33:A35"/>
    <mergeCell ref="G33:G34"/>
    <mergeCell ref="H33:H34"/>
    <mergeCell ref="I33:I34"/>
    <mergeCell ref="J33:J34"/>
    <mergeCell ref="W26:W27"/>
    <mergeCell ref="L26:L27"/>
    <mergeCell ref="M26:M27"/>
    <mergeCell ref="N26:N27"/>
    <mergeCell ref="O26:O27"/>
    <mergeCell ref="P26:P27"/>
    <mergeCell ref="Q26:Q27"/>
    <mergeCell ref="R26:R27"/>
    <mergeCell ref="S26:S27"/>
    <mergeCell ref="C26:C27"/>
    <mergeCell ref="A26:A27"/>
    <mergeCell ref="D26:D27"/>
    <mergeCell ref="E26:E27"/>
    <mergeCell ref="F26:F27"/>
    <mergeCell ref="S33:S35"/>
    <mergeCell ref="T33:T35"/>
    <mergeCell ref="U33:U35"/>
    <mergeCell ref="V33:V35"/>
    <mergeCell ref="W33:W35"/>
    <mergeCell ref="X33:X35"/>
    <mergeCell ref="B39:B43"/>
    <mergeCell ref="B45:B46"/>
    <mergeCell ref="K36:K37"/>
    <mergeCell ref="L36:L47"/>
    <mergeCell ref="M36:M47"/>
    <mergeCell ref="N36:N47"/>
    <mergeCell ref="O36:O47"/>
    <mergeCell ref="P36:P47"/>
    <mergeCell ref="Q36:Q47"/>
    <mergeCell ref="R36:R47"/>
    <mergeCell ref="S36:S47"/>
    <mergeCell ref="T36:T47"/>
    <mergeCell ref="U36:U47"/>
    <mergeCell ref="V36:V47"/>
    <mergeCell ref="W36:W47"/>
    <mergeCell ref="X36:X47"/>
    <mergeCell ref="K39:K47"/>
    <mergeCell ref="C33:C35"/>
    <mergeCell ref="G36:G37"/>
    <mergeCell ref="H36:H37"/>
    <mergeCell ref="I36:I37"/>
    <mergeCell ref="J36:J37"/>
    <mergeCell ref="O48:O50"/>
    <mergeCell ref="P48:P50"/>
    <mergeCell ref="Q48:Q50"/>
    <mergeCell ref="R48:R50"/>
    <mergeCell ref="S48:S50"/>
    <mergeCell ref="T48:T50"/>
    <mergeCell ref="U48:U50"/>
    <mergeCell ref="D48:D50"/>
    <mergeCell ref="E48:E50"/>
    <mergeCell ref="F48:F50"/>
    <mergeCell ref="G48:G49"/>
    <mergeCell ref="H48:H49"/>
    <mergeCell ref="I48:I49"/>
    <mergeCell ref="J48:J49"/>
    <mergeCell ref="K48:K50"/>
    <mergeCell ref="L48:L50"/>
    <mergeCell ref="K58:K59"/>
    <mergeCell ref="V48:V50"/>
    <mergeCell ref="W48:W50"/>
    <mergeCell ref="X48:X50"/>
    <mergeCell ref="G51:G52"/>
    <mergeCell ref="H51:H52"/>
    <mergeCell ref="I51:I52"/>
    <mergeCell ref="J51:J52"/>
    <mergeCell ref="K51:K52"/>
    <mergeCell ref="L51:L54"/>
    <mergeCell ref="M51:M54"/>
    <mergeCell ref="N51:N54"/>
    <mergeCell ref="O51:O54"/>
    <mergeCell ref="P51:P54"/>
    <mergeCell ref="Q51:Q54"/>
    <mergeCell ref="R51:R54"/>
    <mergeCell ref="S51:S54"/>
    <mergeCell ref="T51:T54"/>
    <mergeCell ref="U51:U54"/>
    <mergeCell ref="V51:V54"/>
    <mergeCell ref="W51:W54"/>
    <mergeCell ref="X51:X54"/>
    <mergeCell ref="M48:M50"/>
    <mergeCell ref="N48:N50"/>
    <mergeCell ref="B64:E64"/>
    <mergeCell ref="M64:O64"/>
    <mergeCell ref="W55:W60"/>
    <mergeCell ref="X55:X60"/>
    <mergeCell ref="L55:L60"/>
    <mergeCell ref="M55:M60"/>
    <mergeCell ref="N55:N60"/>
    <mergeCell ref="O55:O60"/>
    <mergeCell ref="P55:P60"/>
    <mergeCell ref="Q55:Q60"/>
    <mergeCell ref="R55:R60"/>
    <mergeCell ref="S55:S60"/>
    <mergeCell ref="T55:T60"/>
    <mergeCell ref="U55:U60"/>
    <mergeCell ref="V55:V60"/>
    <mergeCell ref="G55:G56"/>
    <mergeCell ref="H55:H56"/>
    <mergeCell ref="I55:I56"/>
    <mergeCell ref="J55:J56"/>
    <mergeCell ref="K55:K56"/>
    <mergeCell ref="C55:C60"/>
    <mergeCell ref="D55:D60"/>
    <mergeCell ref="E55:E60"/>
    <mergeCell ref="F55:F60"/>
  </mergeCells>
  <phoneticPr fontId="1" type="noConversion"/>
  <pageMargins left="0.39370078740157483" right="0.31496062992125984" top="0.98425196850393704" bottom="0.39370078740157483" header="0.19685039370078741" footer="0.19685039370078741"/>
  <pageSetup paperSize="9" scale="56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view="pageBreakPreview" topLeftCell="A8" zoomScaleNormal="100" zoomScaleSheetLayoutView="100" workbookViewId="0">
      <selection activeCell="I13" sqref="I13"/>
    </sheetView>
  </sheetViews>
  <sheetFormatPr defaultColWidth="0.85546875" defaultRowHeight="15.75" customHeight="1" x14ac:dyDescent="0.25"/>
  <cols>
    <col min="1" max="1" width="5.28515625" style="5" customWidth="1"/>
    <col min="2" max="2" width="14.85546875" style="5" customWidth="1"/>
    <col min="3" max="12" width="12.7109375" style="5" customWidth="1"/>
    <col min="13" max="16384" width="0.85546875" style="5"/>
  </cols>
  <sheetData>
    <row r="1" spans="1:12" ht="15.75" customHeight="1" x14ac:dyDescent="0.25">
      <c r="K1" s="5" t="s">
        <v>194</v>
      </c>
    </row>
    <row r="2" spans="1:12" ht="12.75" customHeight="1" x14ac:dyDescent="0.25"/>
    <row r="3" spans="1:12" s="9" customFormat="1" ht="48" customHeight="1" x14ac:dyDescent="0.25">
      <c r="A3" s="144" t="s">
        <v>287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5.75" customHeight="1" x14ac:dyDescent="0.25">
      <c r="A4" s="124" t="s">
        <v>270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s="3" customFormat="1" ht="13.5" customHeight="1" x14ac:dyDescent="0.2">
      <c r="A5" s="143" t="s">
        <v>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2.75" customHeight="1" x14ac:dyDescent="0.25"/>
    <row r="7" spans="1:12" s="13" customFormat="1" ht="13.5" customHeight="1" x14ac:dyDescent="0.2">
      <c r="A7" s="289" t="s">
        <v>135</v>
      </c>
      <c r="B7" s="289" t="s">
        <v>130</v>
      </c>
      <c r="C7" s="290" t="s">
        <v>129</v>
      </c>
      <c r="D7" s="290"/>
      <c r="E7" s="290"/>
      <c r="F7" s="290"/>
      <c r="G7" s="290" t="s">
        <v>128</v>
      </c>
      <c r="H7" s="290"/>
      <c r="I7" s="290"/>
      <c r="J7" s="290"/>
      <c r="K7" s="290"/>
      <c r="L7" s="290"/>
    </row>
    <row r="8" spans="1:12" s="14" customFormat="1" ht="159" customHeight="1" x14ac:dyDescent="0.2">
      <c r="A8" s="289"/>
      <c r="B8" s="289"/>
      <c r="C8" s="289" t="s">
        <v>131</v>
      </c>
      <c r="D8" s="289"/>
      <c r="E8" s="289" t="s">
        <v>132</v>
      </c>
      <c r="F8" s="289"/>
      <c r="G8" s="289" t="s">
        <v>124</v>
      </c>
      <c r="H8" s="289"/>
      <c r="I8" s="289" t="s">
        <v>119</v>
      </c>
      <c r="J8" s="289"/>
      <c r="K8" s="289" t="s">
        <v>118</v>
      </c>
      <c r="L8" s="289"/>
    </row>
    <row r="9" spans="1:12" s="14" customFormat="1" ht="13.5" customHeight="1" x14ac:dyDescent="0.2">
      <c r="A9" s="289"/>
      <c r="B9" s="289"/>
      <c r="C9" s="81" t="s">
        <v>165</v>
      </c>
      <c r="D9" s="81" t="s">
        <v>166</v>
      </c>
      <c r="E9" s="81" t="s">
        <v>165</v>
      </c>
      <c r="F9" s="81" t="s">
        <v>166</v>
      </c>
      <c r="G9" s="81" t="s">
        <v>165</v>
      </c>
      <c r="H9" s="81" t="s">
        <v>166</v>
      </c>
      <c r="I9" s="81" t="s">
        <v>165</v>
      </c>
      <c r="J9" s="81" t="s">
        <v>166</v>
      </c>
      <c r="K9" s="81" t="s">
        <v>165</v>
      </c>
      <c r="L9" s="81" t="s">
        <v>166</v>
      </c>
    </row>
    <row r="10" spans="1:12" s="15" customFormat="1" ht="13.5" customHeight="1" x14ac:dyDescent="0.2">
      <c r="A10" s="41">
        <v>1</v>
      </c>
      <c r="B10" s="41" t="s">
        <v>27</v>
      </c>
      <c r="C10" s="41" t="s">
        <v>28</v>
      </c>
      <c r="D10" s="41" t="s">
        <v>29</v>
      </c>
      <c r="E10" s="41" t="s">
        <v>30</v>
      </c>
      <c r="F10" s="41" t="s">
        <v>125</v>
      </c>
      <c r="G10" s="41" t="s">
        <v>126</v>
      </c>
      <c r="H10" s="41" t="s">
        <v>46</v>
      </c>
      <c r="I10" s="41" t="s">
        <v>47</v>
      </c>
      <c r="J10" s="41" t="s">
        <v>127</v>
      </c>
      <c r="K10" s="41" t="s">
        <v>120</v>
      </c>
      <c r="L10" s="41" t="s">
        <v>121</v>
      </c>
    </row>
    <row r="11" spans="1:12" s="10" customFormat="1" ht="78.75" customHeight="1" x14ac:dyDescent="0.2">
      <c r="A11" s="82" t="s">
        <v>26</v>
      </c>
      <c r="B11" s="75" t="s">
        <v>283</v>
      </c>
      <c r="C11" s="71">
        <v>0</v>
      </c>
      <c r="D11" s="71">
        <v>1.78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3.29</v>
      </c>
      <c r="K11" s="71">
        <v>0</v>
      </c>
      <c r="L11" s="297">
        <v>13.321999999999999</v>
      </c>
    </row>
    <row r="12" spans="1:12" s="10" customFormat="1" ht="12.75" customHeight="1" x14ac:dyDescent="0.2">
      <c r="A12" s="82"/>
      <c r="B12" s="75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s="10" customFormat="1" ht="70.5" customHeight="1" x14ac:dyDescent="0.2">
      <c r="B13" s="12"/>
      <c r="C13" s="12"/>
      <c r="D13" s="12"/>
      <c r="E13" s="12"/>
      <c r="F13" s="1"/>
      <c r="G13" s="1"/>
      <c r="H13" s="1"/>
      <c r="I13" s="1"/>
    </row>
    <row r="14" spans="1:12" s="7" customFormat="1" ht="14.25" customHeight="1" x14ac:dyDescent="0.2">
      <c r="B14" s="211" t="s">
        <v>268</v>
      </c>
      <c r="C14" s="211"/>
      <c r="D14" s="211"/>
      <c r="E14" s="211"/>
      <c r="J14" s="141" t="s">
        <v>269</v>
      </c>
      <c r="K14" s="141"/>
      <c r="L14" s="141"/>
    </row>
    <row r="15" spans="1:12" s="3" customFormat="1" ht="24" customHeight="1" x14ac:dyDescent="0.2">
      <c r="B15" s="80" t="s">
        <v>17</v>
      </c>
      <c r="D15" s="79"/>
    </row>
    <row r="16" spans="1:12" s="7" customFormat="1" ht="14.25" customHeight="1" x14ac:dyDescent="0.2">
      <c r="B16" s="211"/>
      <c r="C16" s="211"/>
      <c r="D16" s="211"/>
      <c r="E16" s="211"/>
      <c r="F16" s="211"/>
      <c r="G16" s="211"/>
      <c r="J16" s="212"/>
      <c r="K16" s="212"/>
      <c r="L16" s="212"/>
    </row>
    <row r="17" spans="2:2" s="7" customFormat="1" ht="24" customHeight="1" x14ac:dyDescent="0.2">
      <c r="B17" s="8"/>
    </row>
  </sheetData>
  <mergeCells count="16">
    <mergeCell ref="A3:L3"/>
    <mergeCell ref="C8:D8"/>
    <mergeCell ref="E8:F8"/>
    <mergeCell ref="B14:E14"/>
    <mergeCell ref="J14:L14"/>
    <mergeCell ref="A4:L4"/>
    <mergeCell ref="A5:L5"/>
    <mergeCell ref="B16:G16"/>
    <mergeCell ref="J16:L16"/>
    <mergeCell ref="A7:A9"/>
    <mergeCell ref="B7:B9"/>
    <mergeCell ref="C7:F7"/>
    <mergeCell ref="G7:L7"/>
    <mergeCell ref="G8:H8"/>
    <mergeCell ref="I8:J8"/>
    <mergeCell ref="K8:L8"/>
  </mergeCells>
  <phoneticPr fontId="1" type="noConversion"/>
  <pageMargins left="0.39370078740157483" right="0.39370078740157483" top="0.70866141732283472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</vt:lpstr>
      <vt:lpstr>№1-ИП ТС</vt:lpstr>
      <vt:lpstr>№2-ИП ТС</vt:lpstr>
      <vt:lpstr>№3-ИП ТС</vt:lpstr>
      <vt:lpstr>№4-ИП ТС</vt:lpstr>
      <vt:lpstr>№5-ИП ТС</vt:lpstr>
      <vt:lpstr>№6.1-ИП ТС</vt:lpstr>
      <vt:lpstr>№6.2-ИП ТС</vt:lpstr>
      <vt:lpstr>'№1-ИП ТС'!Область_печати</vt:lpstr>
      <vt:lpstr>'№3-ИП ТС'!Область_печати</vt:lpstr>
      <vt:lpstr>'№4-ИП ТС'!Область_печати</vt:lpstr>
      <vt:lpstr>'№5-ИП ТС'!Область_печати</vt:lpstr>
      <vt:lpstr>'№6.1-ИП ТС'!Область_печати</vt:lpstr>
      <vt:lpstr>'№6.2-ИП ТС'!Область_печати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2024-05-06T04:05:30Z</cp:lastPrinted>
  <dcterms:created xsi:type="dcterms:W3CDTF">2021-03-09T11:25:25Z</dcterms:created>
  <dcterms:modified xsi:type="dcterms:W3CDTF">2024-05-06T04:31:07Z</dcterms:modified>
</cp:coreProperties>
</file>